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charts/chart1.xml" ContentType="application/vnd.openxmlformats-officedocument.drawingml.chart+xml"/>
  <Override PartName="/xl/drawings/drawing50.xml" ContentType="application/vnd.openxmlformats-officedocument.drawing+xml"/>
  <Override PartName="/xl/charts/chart2.xml" ContentType="application/vnd.openxmlformats-officedocument.drawingml.chart+xml"/>
  <Override PartName="/xl/drawings/drawing51.xml" ContentType="application/vnd.openxmlformats-officedocument.drawing+xml"/>
  <Override PartName="/xl/drawings/drawing5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831"/>
  <workbookPr showInkAnnotation="0" updateLinks="never" codeName="ThisWorkbook"/>
  <mc:AlternateContent xmlns:mc="http://schemas.openxmlformats.org/markup-compatibility/2006">
    <mc:Choice Requires="x15">
      <x15ac:absPath xmlns:x15ac="http://schemas.microsoft.com/office/spreadsheetml/2010/11/ac" url="C:\Users\petro\Desktop\PP to upload\"/>
    </mc:Choice>
  </mc:AlternateContent>
  <xr:revisionPtr revIDLastSave="0" documentId="8_{957395F0-1F4F-40BE-AE81-9F0379CFA8E7}" xr6:coauthVersionLast="47" xr6:coauthVersionMax="47" xr10:uidLastSave="{00000000-0000-0000-0000-000000000000}"/>
  <bookViews>
    <workbookView xWindow="-120" yWindow="-120" windowWidth="19440" windowHeight="11640" tabRatio="908" activeTab="4" xr2:uid="{00000000-000D-0000-FFFF-FFFF00000000}"/>
  </bookViews>
  <sheets>
    <sheet name="Structure and Purpose" sheetId="440" r:id="rId1"/>
    <sheet name="Cover Page" sheetId="611" r:id="rId2"/>
    <sheet name="Table of Content" sheetId="487" r:id="rId3"/>
    <sheet name="Signatories" sheetId="545" r:id="rId4"/>
    <sheet name="1. INTRODUCTION &gt;&gt;&gt;" sheetId="577" r:id="rId5"/>
    <sheet name="1.1 The situation" sheetId="489" r:id="rId6"/>
    <sheet name="1.2 Traffic forecasts" sheetId="491" r:id="rId7"/>
    <sheet name="1.3 Stakeholder consultation" sheetId="492" r:id="rId8"/>
    <sheet name="1.4 List of airports" sheetId="493" r:id="rId9"/>
    <sheet name="1.5 Market conditions" sheetId="495" r:id="rId10"/>
    <sheet name="1.6 FAB process" sheetId="502" r:id="rId11"/>
    <sheet name="1.7 Simplified scheme" sheetId="503" r:id="rId12"/>
    <sheet name="2. INVESTMENTS &gt;&gt;&gt;" sheetId="578" r:id="rId13"/>
    <sheet name="2.1 Investments_ANSP#1" sheetId="497" r:id="rId14"/>
    <sheet name="2.2 Investments_ANSP#2" sheetId="614" r:id="rId15"/>
    <sheet name="2.3 Investments_ANSP#3" sheetId="615" state="hidden" r:id="rId16"/>
    <sheet name="2.4 Investments_ANSP#4" sheetId="616" state="hidden" r:id="rId17"/>
    <sheet name="2.5 Investments_ANSP#5" sheetId="617" state="hidden" r:id="rId18"/>
    <sheet name="2.6 Investments_ANSP#6" sheetId="618" state="hidden" r:id="rId19"/>
    <sheet name="2.7 Investments_ANSP#7" sheetId="619" state="hidden" r:id="rId20"/>
    <sheet name="2.8 Investments_ANSP#8" sheetId="620" state="hidden" r:id="rId21"/>
    <sheet name="2.9 Investments_ANSP#9" sheetId="621" state="hidden" r:id="rId22"/>
    <sheet name="2.10 Investments_ANSP#10" sheetId="622" state="hidden" r:id="rId23"/>
    <sheet name="3. PERFORMANCE TARGETS &gt;&gt;&gt;" sheetId="588" r:id="rId24"/>
    <sheet name="3.1 SAFETY &gt;&gt;&gt;" sheetId="528" r:id="rId25"/>
    <sheet name="3.1 Safety targets" sheetId="500" r:id="rId26"/>
    <sheet name="3.2 ENVIRONMENT &gt;&gt;&gt;" sheetId="529" r:id="rId27"/>
    <sheet name="3.2 Environment targets" sheetId="530" r:id="rId28"/>
    <sheet name="3.3 CAPACITY &gt;&gt;&gt;" sheetId="531" r:id="rId29"/>
    <sheet name="3.3.1 En route" sheetId="509" r:id="rId30"/>
    <sheet name="3.3.2 Terminal" sheetId="510" r:id="rId31"/>
    <sheet name="3.4 COST-EFFICIENCY &gt;&gt;&gt;" sheetId="532" r:id="rId32"/>
    <sheet name="3.4.1 ERT-CZ 1" sheetId="557" r:id="rId33"/>
    <sheet name="3.4.1 ERT-CZ 2" sheetId="623" state="hidden" r:id="rId34"/>
    <sheet name="3.4.1 ERT-CZ 3" sheetId="624" state="hidden" r:id="rId35"/>
    <sheet name="3.4.1 ERT-CZ 4" sheetId="625" state="hidden" r:id="rId36"/>
    <sheet name="3.4.1 ERT-CZ 5" sheetId="626" state="hidden" r:id="rId37"/>
    <sheet name="3.4.2 TERM-CZ 1" sheetId="558" state="hidden" r:id="rId38"/>
    <sheet name="3.4.2 TERM-CZ 2" sheetId="627" state="hidden" r:id="rId39"/>
    <sheet name="3.4.2 TERM-CZ 3" sheetId="628" state="hidden" r:id="rId40"/>
    <sheet name="3.4.2 TERM-CZ 4" sheetId="629" state="hidden" r:id="rId41"/>
    <sheet name="3.4.2 TERM-CZ 5" sheetId="630" state="hidden" r:id="rId42"/>
    <sheet name="3.4.2 TERM-CZ 6" sheetId="631" state="hidden" r:id="rId43"/>
    <sheet name="3.4.2 TERM-CZ 7" sheetId="632" state="hidden" r:id="rId44"/>
    <sheet name="3.4.2 TERM-CZ 8" sheetId="633" state="hidden" r:id="rId45"/>
    <sheet name="3.4.2 TERM-CZ 9" sheetId="634" state="hidden" r:id="rId46"/>
    <sheet name="3.4.2 TERM-CZ 10" sheetId="635" state="hidden" r:id="rId47"/>
    <sheet name="3.4.3 Pensions" sheetId="603" r:id="rId48"/>
    <sheet name="3.4.4 Interest rates" sheetId="604" r:id="rId49"/>
    <sheet name="3.4.5 Restructuring costs" sheetId="606" r:id="rId50"/>
    <sheet name="3.4.6 Add. capacity measures" sheetId="612" r:id="rId51"/>
    <sheet name="3.5 ADDITIONAL KPIs &gt;&gt;&gt;" sheetId="608" r:id="rId52"/>
    <sheet name="3.5 Additional KPIs" sheetId="501" r:id="rId53"/>
    <sheet name="3.6 INTERDEPENDENCIES &gt;&gt;&gt;" sheetId="607" r:id="rId54"/>
    <sheet name="3.6 Interdependencies" sheetId="517" r:id="rId55"/>
    <sheet name="4. CROSS-BORDER and SESAR &gt;&gt;&gt;" sheetId="535" r:id="rId56"/>
    <sheet name="4.1 Cross-border" sheetId="521" r:id="rId57"/>
    <sheet name="4.2 SESAR-PCP" sheetId="523" r:id="rId58"/>
    <sheet name="4.3 Change management" sheetId="576" r:id="rId59"/>
    <sheet name="5. TRAFFIC RS &amp; INCENTIVES &gt;&gt;&gt;" sheetId="537" r:id="rId60"/>
    <sheet name="5.1 Traffic RS" sheetId="610" r:id="rId61"/>
    <sheet name="5.2.1 Capacity Incentives_ER" sheetId="524" r:id="rId62"/>
    <sheet name="5.2.2 Capacity Incentives_TMZ" sheetId="544" state="hidden" r:id="rId63"/>
    <sheet name="5.3 Optional Incentives" sheetId="540" r:id="rId64"/>
    <sheet name="6. IMPLEMENTATION &gt;&gt;&gt;" sheetId="538" r:id="rId65"/>
    <sheet name="6. Implementation" sheetId="391" r:id="rId66"/>
    <sheet name="7. ANNEXES" sheetId="113" r:id="rId67"/>
    <sheet name="Prefilled information" sheetId="546" r:id="rId68"/>
    <sheet name="STATFOR_Data" sheetId="559" r:id="rId69"/>
    <sheet name="temp" sheetId="636" state="hidden" r:id="rId70"/>
    <sheet name="Dynamic lists" sheetId="560" state="veryHidden" r:id="rId71"/>
    <sheet name="Graphics data" sheetId="547" state="veryHidden" r:id="rId72"/>
  </sheets>
  <externalReferences>
    <externalReference r:id="rId73"/>
    <externalReference r:id="rId74"/>
  </externalReferences>
  <definedNames>
    <definedName name="_Ref361140025" localSheetId="66">'7. ANNEXES'!$B$4</definedName>
    <definedName name="_Ref367869043" localSheetId="66">'7. ANNEXES'!$B$10</definedName>
    <definedName name="_Ref368471165" localSheetId="66">'7. ANNEXES'!$B$7</definedName>
    <definedName name="_Ref368471334" localSheetId="66">'7. ANNEXES'!$B$5</definedName>
    <definedName name="_Ref378863268" localSheetId="66">'7. ANNEXES'!$B$11</definedName>
    <definedName name="Nb_Airports_80000">'Prefilled information'!$AA$2</definedName>
    <definedName name="OLE_LINK5" localSheetId="2">'Table of Content'!$B$4</definedName>
    <definedName name="_xlnm.Print_Area" localSheetId="4">'1. INTRODUCTION &gt;&gt;&gt;'!$B$2:$F$37</definedName>
    <definedName name="_xlnm.Print_Area" localSheetId="5">'1.1 The situation'!$B$1:$F$110</definedName>
    <definedName name="_xlnm.Print_Area" localSheetId="6">'1.2 Traffic forecasts'!$B$1:$L$309</definedName>
    <definedName name="_xlnm.Print_Area" localSheetId="7">'1.3 Stakeholder consultation'!$B$1:$F$101</definedName>
    <definedName name="_xlnm.Print_Area" localSheetId="8">'1.4 List of airports'!$B$1:$I$117</definedName>
    <definedName name="_xlnm.Print_Area" localSheetId="9">'1.5 Market conditions'!$B$1:$G$21</definedName>
    <definedName name="_xlnm.Print_Area" localSheetId="10">'1.6 FAB process'!$B$1:$D$7</definedName>
    <definedName name="_xlnm.Print_Area" localSheetId="11">'1.7 Simplified scheme'!$B$1:$G$37</definedName>
    <definedName name="_xlnm.Print_Area" localSheetId="12">'2. INVESTMENTS &gt;&gt;&gt;'!$B$2:$F$60</definedName>
    <definedName name="_xlnm.Print_Area" localSheetId="13">'2.1 Investments_ANSP#1'!$B$1:$O$1050</definedName>
    <definedName name="_xlnm.Print_Area" localSheetId="22">'2.10 Investments_ANSP#10'!$B$1:$O$1051</definedName>
    <definedName name="_xlnm.Print_Area" localSheetId="14">'2.2 Investments_ANSP#2'!$B$1:$O$1051</definedName>
    <definedName name="_xlnm.Print_Area" localSheetId="15">'2.3 Investments_ANSP#3'!$B$1:$O$1051</definedName>
    <definedName name="_xlnm.Print_Area" localSheetId="16">'2.4 Investments_ANSP#4'!$B$1:$O$1051</definedName>
    <definedName name="_xlnm.Print_Area" localSheetId="17">'2.5 Investments_ANSP#5'!$B$1:$O$1051</definedName>
    <definedName name="_xlnm.Print_Area" localSheetId="18">'2.6 Investments_ANSP#6'!$B$1:$O$1051</definedName>
    <definedName name="_xlnm.Print_Area" localSheetId="19">'2.7 Investments_ANSP#7'!$B$1:$O$1051</definedName>
    <definedName name="_xlnm.Print_Area" localSheetId="20">'2.8 Investments_ANSP#8'!$B$1:$O$1051</definedName>
    <definedName name="_xlnm.Print_Area" localSheetId="21">'2.9 Investments_ANSP#9'!$B$1:$O$1051</definedName>
    <definedName name="_xlnm.Print_Area" localSheetId="23">'3. PERFORMANCE TARGETS &gt;&gt;&gt;'!$B$1:$F$45</definedName>
    <definedName name="_xlnm.Print_Area" localSheetId="24">'3.1 SAFETY &gt;&gt;&gt;'!$B$1:$F$24</definedName>
    <definedName name="_xlnm.Print_Area" localSheetId="25">'3.1 Safety targets'!$B$1:$K$112</definedName>
    <definedName name="_xlnm.Print_Area" localSheetId="26">'3.2 ENVIRONMENT &gt;&gt;&gt;'!$B$1:$F$19</definedName>
    <definedName name="_xlnm.Print_Area" localSheetId="27">'3.2 Environment targets'!$B$1:$J$24</definedName>
    <definedName name="_xlnm.Print_Area" localSheetId="28">'3.3 CAPACITY &gt;&gt;&gt;'!$B$1:$F$20</definedName>
    <definedName name="_xlnm.Print_Area" localSheetId="29">'3.3.1 En route'!$B$1:$J$88</definedName>
    <definedName name="_xlnm.Print_Area" localSheetId="30">'3.3.2 Terminal'!$B$1:$K$220</definedName>
    <definedName name="_xlnm.Print_Area" localSheetId="31">'3.4 COST-EFFICIENCY &gt;&gt;&gt;'!$B$1:$F$57</definedName>
    <definedName name="_xlnm.Print_Area" localSheetId="33">'3.4.1 ERT-CZ 2'!$C$1:$M$197</definedName>
    <definedName name="_xlnm.Print_Area" localSheetId="34">'3.4.1 ERT-CZ 3'!$C$1:$M$197</definedName>
    <definedName name="_xlnm.Print_Area" localSheetId="35">'3.4.1 ERT-CZ 4'!$C$1:$M$197</definedName>
    <definedName name="_xlnm.Print_Area" localSheetId="36">'3.4.1 ERT-CZ 5'!$C$1:$M$197</definedName>
    <definedName name="_xlnm.Print_Area" localSheetId="37">'3.4.2 TERM-CZ 1'!$C$1:$K$115</definedName>
    <definedName name="_xlnm.Print_Area" localSheetId="46">'3.4.2 TERM-CZ 10'!$C$1:$K$115</definedName>
    <definedName name="_xlnm.Print_Area" localSheetId="38">'3.4.2 TERM-CZ 2'!$C$1:$K$115</definedName>
    <definedName name="_xlnm.Print_Area" localSheetId="39">'3.4.2 TERM-CZ 3'!$C$1:$K$115</definedName>
    <definedName name="_xlnm.Print_Area" localSheetId="40">'3.4.2 TERM-CZ 4'!$C$1:$K$115</definedName>
    <definedName name="_xlnm.Print_Area" localSheetId="41">'3.4.2 TERM-CZ 5'!$C$1:$K$115</definedName>
    <definedName name="_xlnm.Print_Area" localSheetId="42">'3.4.2 TERM-CZ 6'!$C$1:$K$115</definedName>
    <definedName name="_xlnm.Print_Area" localSheetId="43">'3.4.2 TERM-CZ 7'!$C$1:$K$115</definedName>
    <definedName name="_xlnm.Print_Area" localSheetId="44">'3.4.2 TERM-CZ 8'!$C$1:$K$115</definedName>
    <definedName name="_xlnm.Print_Area" localSheetId="45">'3.4.2 TERM-CZ 9'!$C$1:$K$115</definedName>
    <definedName name="_xlnm.Print_Area" localSheetId="47">'3.4.3 Pensions'!$B$1:$J$137</definedName>
    <definedName name="_xlnm.Print_Area" localSheetId="48">'3.4.4 Interest rates'!$B$1:$J$140</definedName>
    <definedName name="_xlnm.Print_Area" localSheetId="49">'3.4.5 Restructuring costs'!$B$1:$J$278</definedName>
    <definedName name="_xlnm.Print_Area" localSheetId="50">'3.4.6 Add. capacity measures'!$B$1:$J$100</definedName>
    <definedName name="_xlnm.Print_Area" localSheetId="52">'3.5 Additional KPIs'!$B$1:$I$198</definedName>
    <definedName name="_xlnm.Print_Area" localSheetId="51">'3.5 ADDITIONAL KPIs &gt;&gt;&gt;'!$B$1:$F$9</definedName>
    <definedName name="_xlnm.Print_Area" localSheetId="54">'3.6 Interdependencies'!$B$1:$C$32</definedName>
    <definedName name="_xlnm.Print_Area" localSheetId="53">'3.6 INTERDEPENDENCIES &gt;&gt;&gt;'!$B$1:$F$18</definedName>
    <definedName name="_xlnm.Print_Area" localSheetId="55">'4. CROSS-BORDER and SESAR &gt;&gt;&gt;'!$B$1:$F$16</definedName>
    <definedName name="_xlnm.Print_Area" localSheetId="56">'4.1 Cross-border'!$B$1:$D$67</definedName>
    <definedName name="_xlnm.Print_Area" localSheetId="57">'4.2 SESAR-PCP'!$B$1:$D$33</definedName>
    <definedName name="_xlnm.Print_Area" localSheetId="58">'4.3 Change management'!$B$1:$D$6</definedName>
    <definedName name="_xlnm.Print_Area" localSheetId="59">'5. TRAFFIC RS &amp; INCENTIVES &gt;&gt;&gt;'!$B$1:$F$24</definedName>
    <definedName name="_xlnm.Print_Area" localSheetId="60">'5.1 Traffic RS'!$B$1:$I$157</definedName>
    <definedName name="_xlnm.Print_Area" localSheetId="61">'5.2.1 Capacity Incentives_ER'!$B$1:$K$60</definedName>
    <definedName name="_xlnm.Print_Area" localSheetId="62">'5.2.2 Capacity Incentives_TMZ'!$B$1:$K$54</definedName>
    <definedName name="_xlnm.Print_Area" localSheetId="63">'5.3 Optional Incentives'!$B$1:$J$138</definedName>
    <definedName name="_xlnm.Print_Area" localSheetId="65">'6. Implementation'!$B$1:$G$13</definedName>
    <definedName name="_xlnm.Print_Area" localSheetId="64">'6. IMPLEMENTATION &gt;&gt;&gt;'!$B$1:$F$12</definedName>
    <definedName name="_xlnm.Print_Area" localSheetId="66">'7. ANNEXES'!$B$1:$B$30</definedName>
    <definedName name="_xlnm.Print_Area" localSheetId="1">'Cover Page'!$B$1:$K$103</definedName>
    <definedName name="_xlnm.Print_Area" localSheetId="71">'Graphics data'!#REF!</definedName>
    <definedName name="_xlnm.Print_Area" localSheetId="3">Signatories!$B$1:$E$26</definedName>
    <definedName name="_xlnm.Print_Area" localSheetId="2">'Table of Content'!$B$1:$B$82</definedName>
  </definedNames>
  <calcPr calcId="191029" concurrentCalc="0"/>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68" i="612" l="1"/>
  <c r="G68" i="612"/>
  <c r="D33" i="612"/>
  <c r="F33" i="612"/>
  <c r="F68" i="612"/>
  <c r="F13" i="509"/>
  <c r="B14" i="500"/>
  <c r="D18" i="500"/>
  <c r="D17" i="500"/>
  <c r="D16" i="500"/>
  <c r="D15" i="500"/>
  <c r="D14" i="500"/>
  <c r="D60" i="497"/>
  <c r="D61" i="497"/>
  <c r="D1031" i="614"/>
  <c r="I68" i="612"/>
  <c r="F63" i="612"/>
  <c r="F58" i="612"/>
  <c r="F53" i="612"/>
  <c r="F48" i="612"/>
  <c r="F43" i="612"/>
  <c r="E68" i="612"/>
  <c r="D68" i="612"/>
  <c r="I121" i="603"/>
  <c r="I123" i="603"/>
  <c r="I21" i="603"/>
  <c r="H21" i="603"/>
  <c r="I124" i="603"/>
  <c r="K68" i="612"/>
  <c r="G60" i="497"/>
  <c r="G63" i="497"/>
  <c r="F123" i="603"/>
  <c r="I90" i="612"/>
  <c r="I81" i="612"/>
  <c r="I93" i="612"/>
  <c r="H90" i="612"/>
  <c r="H81" i="612"/>
  <c r="H93" i="612"/>
  <c r="G90" i="612"/>
  <c r="G81" i="612"/>
  <c r="G93" i="612"/>
  <c r="E90" i="612"/>
  <c r="E81" i="612"/>
  <c r="E93" i="612"/>
  <c r="D90" i="612"/>
  <c r="D81" i="612"/>
  <c r="D93" i="612"/>
  <c r="F93" i="612"/>
  <c r="F90" i="612"/>
  <c r="F89" i="612"/>
  <c r="F88" i="612"/>
  <c r="F87" i="612"/>
  <c r="F86" i="612"/>
  <c r="F85" i="612"/>
  <c r="F84" i="612"/>
  <c r="F81" i="612"/>
  <c r="B7" i="612"/>
  <c r="D9" i="603"/>
  <c r="D10" i="603"/>
  <c r="H121" i="603"/>
  <c r="H123" i="603"/>
  <c r="G121" i="603"/>
  <c r="G123" i="603"/>
  <c r="G21" i="603"/>
  <c r="J20" i="491"/>
  <c r="I20" i="491"/>
  <c r="H20" i="491"/>
  <c r="J18" i="491"/>
  <c r="I18" i="491"/>
  <c r="H18" i="491"/>
  <c r="C6" i="557"/>
  <c r="O4" i="557"/>
  <c r="C6" i="491"/>
  <c r="F13" i="491"/>
  <c r="Q4" i="557"/>
  <c r="H12" i="491"/>
  <c r="F60" i="497"/>
  <c r="F63" i="497"/>
  <c r="L69" i="497"/>
  <c r="H60" i="497"/>
  <c r="I60" i="497"/>
  <c r="J60" i="497"/>
  <c r="J63" i="497"/>
  <c r="E60" i="497"/>
  <c r="E63" i="497"/>
  <c r="D30" i="509"/>
  <c r="E30" i="509"/>
  <c r="F30" i="509"/>
  <c r="G30" i="509"/>
  <c r="H30" i="509"/>
  <c r="I30" i="509"/>
  <c r="F21" i="603"/>
  <c r="F19" i="603"/>
  <c r="O11" i="557"/>
  <c r="I10" i="603"/>
  <c r="H10" i="603"/>
  <c r="G10" i="603"/>
  <c r="E10" i="603"/>
  <c r="H22" i="524"/>
  <c r="J22" i="524"/>
  <c r="H20" i="547"/>
  <c r="I22" i="524"/>
  <c r="J21" i="524"/>
  <c r="I21" i="524"/>
  <c r="H21" i="524"/>
  <c r="I63" i="497"/>
  <c r="H63" i="497"/>
  <c r="C86" i="491"/>
  <c r="C66" i="491"/>
  <c r="C46" i="491"/>
  <c r="F8" i="510"/>
  <c r="F186" i="626"/>
  <c r="F185" i="626"/>
  <c r="F186" i="625"/>
  <c r="F185" i="625"/>
  <c r="F186" i="624"/>
  <c r="F185" i="624"/>
  <c r="F186" i="623"/>
  <c r="F185" i="623"/>
  <c r="C1002" i="622"/>
  <c r="C983" i="622"/>
  <c r="C964" i="622"/>
  <c r="C945" i="622"/>
  <c r="C926" i="622"/>
  <c r="C907" i="622"/>
  <c r="C888" i="622"/>
  <c r="C869" i="622"/>
  <c r="C850" i="622"/>
  <c r="C831" i="622"/>
  <c r="C812" i="622"/>
  <c r="C793" i="622"/>
  <c r="C774" i="622"/>
  <c r="C755" i="622"/>
  <c r="C736" i="622"/>
  <c r="C717" i="622"/>
  <c r="C698" i="622"/>
  <c r="C679" i="622"/>
  <c r="C660" i="622"/>
  <c r="C641" i="622"/>
  <c r="C622" i="622"/>
  <c r="C603" i="622"/>
  <c r="C584" i="622"/>
  <c r="C565" i="622"/>
  <c r="C546" i="622"/>
  <c r="C527" i="622"/>
  <c r="C508" i="622"/>
  <c r="C489" i="622"/>
  <c r="C470" i="622"/>
  <c r="C451" i="622"/>
  <c r="C432" i="622"/>
  <c r="C413" i="622"/>
  <c r="C394" i="622"/>
  <c r="C375" i="622"/>
  <c r="C356" i="622"/>
  <c r="C337" i="622"/>
  <c r="C318" i="622"/>
  <c r="C299" i="622"/>
  <c r="C280" i="622"/>
  <c r="C261" i="622"/>
  <c r="C242" i="622"/>
  <c r="C223" i="622"/>
  <c r="C204" i="622"/>
  <c r="C185" i="622"/>
  <c r="C166" i="622"/>
  <c r="C147" i="622"/>
  <c r="C128" i="622"/>
  <c r="C109" i="622"/>
  <c r="C90" i="622"/>
  <c r="C71" i="622"/>
  <c r="C1002" i="621"/>
  <c r="C983" i="621"/>
  <c r="C964" i="621"/>
  <c r="C945" i="621"/>
  <c r="C926" i="621"/>
  <c r="C907" i="621"/>
  <c r="C888" i="621"/>
  <c r="C869" i="621"/>
  <c r="C850" i="621"/>
  <c r="C831" i="621"/>
  <c r="C812" i="621"/>
  <c r="C793" i="621"/>
  <c r="C774" i="621"/>
  <c r="C755" i="621"/>
  <c r="C736" i="621"/>
  <c r="C717" i="621"/>
  <c r="C698" i="621"/>
  <c r="C679" i="621"/>
  <c r="C660" i="621"/>
  <c r="C641" i="621"/>
  <c r="C622" i="621"/>
  <c r="C603" i="621"/>
  <c r="C584" i="621"/>
  <c r="C565" i="621"/>
  <c r="C546" i="621"/>
  <c r="C527" i="621"/>
  <c r="C508" i="621"/>
  <c r="C489" i="621"/>
  <c r="C470" i="621"/>
  <c r="C451" i="621"/>
  <c r="C432" i="621"/>
  <c r="C413" i="621"/>
  <c r="C394" i="621"/>
  <c r="C375" i="621"/>
  <c r="C356" i="621"/>
  <c r="C337" i="621"/>
  <c r="C318" i="621"/>
  <c r="C299" i="621"/>
  <c r="C280" i="621"/>
  <c r="C261" i="621"/>
  <c r="C242" i="621"/>
  <c r="C223" i="621"/>
  <c r="C204" i="621"/>
  <c r="C185" i="621"/>
  <c r="C166" i="621"/>
  <c r="C147" i="621"/>
  <c r="C128" i="621"/>
  <c r="C109" i="621"/>
  <c r="C90" i="621"/>
  <c r="C71" i="621"/>
  <c r="C1002" i="620"/>
  <c r="C983" i="620"/>
  <c r="C964" i="620"/>
  <c r="C945" i="620"/>
  <c r="C926" i="620"/>
  <c r="C907" i="620"/>
  <c r="C888" i="620"/>
  <c r="C869" i="620"/>
  <c r="C850" i="620"/>
  <c r="C831" i="620"/>
  <c r="C812" i="620"/>
  <c r="C793" i="620"/>
  <c r="C774" i="620"/>
  <c r="C755" i="620"/>
  <c r="C736" i="620"/>
  <c r="C717" i="620"/>
  <c r="C698" i="620"/>
  <c r="C679" i="620"/>
  <c r="C660" i="620"/>
  <c r="C641" i="620"/>
  <c r="C622" i="620"/>
  <c r="C603" i="620"/>
  <c r="C584" i="620"/>
  <c r="C565" i="620"/>
  <c r="C546" i="620"/>
  <c r="C527" i="620"/>
  <c r="C508" i="620"/>
  <c r="C489" i="620"/>
  <c r="C470" i="620"/>
  <c r="C451" i="620"/>
  <c r="C432" i="620"/>
  <c r="C413" i="620"/>
  <c r="C394" i="620"/>
  <c r="C375" i="620"/>
  <c r="C356" i="620"/>
  <c r="C337" i="620"/>
  <c r="C318" i="620"/>
  <c r="C299" i="620"/>
  <c r="C280" i="620"/>
  <c r="C261" i="620"/>
  <c r="C242" i="620"/>
  <c r="C223" i="620"/>
  <c r="C204" i="620"/>
  <c r="C185" i="620"/>
  <c r="C166" i="620"/>
  <c r="C147" i="620"/>
  <c r="C128" i="620"/>
  <c r="C109" i="620"/>
  <c r="C90" i="620"/>
  <c r="C71" i="620"/>
  <c r="C1002" i="619"/>
  <c r="C983" i="619"/>
  <c r="C964" i="619"/>
  <c r="C945" i="619"/>
  <c r="C926" i="619"/>
  <c r="C907" i="619"/>
  <c r="C888" i="619"/>
  <c r="C869" i="619"/>
  <c r="C850" i="619"/>
  <c r="C831" i="619"/>
  <c r="C812" i="619"/>
  <c r="C793" i="619"/>
  <c r="C774" i="619"/>
  <c r="C755" i="619"/>
  <c r="C736" i="619"/>
  <c r="C717" i="619"/>
  <c r="C698" i="619"/>
  <c r="C679" i="619"/>
  <c r="C660" i="619"/>
  <c r="C641" i="619"/>
  <c r="C622" i="619"/>
  <c r="C603" i="619"/>
  <c r="C584" i="619"/>
  <c r="C565" i="619"/>
  <c r="C546" i="619"/>
  <c r="C527" i="619"/>
  <c r="C508" i="619"/>
  <c r="C489" i="619"/>
  <c r="C470" i="619"/>
  <c r="C451" i="619"/>
  <c r="C432" i="619"/>
  <c r="C413" i="619"/>
  <c r="C394" i="619"/>
  <c r="C375" i="619"/>
  <c r="C356" i="619"/>
  <c r="C337" i="619"/>
  <c r="C318" i="619"/>
  <c r="C299" i="619"/>
  <c r="C280" i="619"/>
  <c r="C261" i="619"/>
  <c r="C242" i="619"/>
  <c r="C223" i="619"/>
  <c r="C204" i="619"/>
  <c r="C185" i="619"/>
  <c r="C166" i="619"/>
  <c r="C147" i="619"/>
  <c r="C128" i="619"/>
  <c r="C109" i="619"/>
  <c r="C90" i="619"/>
  <c r="C71" i="619"/>
  <c r="C1002" i="618"/>
  <c r="C983" i="618"/>
  <c r="C964" i="618"/>
  <c r="C945" i="618"/>
  <c r="C926" i="618"/>
  <c r="C907" i="618"/>
  <c r="C888" i="618"/>
  <c r="C869" i="618"/>
  <c r="C850" i="618"/>
  <c r="C831" i="618"/>
  <c r="C812" i="618"/>
  <c r="C793" i="618"/>
  <c r="C774" i="618"/>
  <c r="C755" i="618"/>
  <c r="C736" i="618"/>
  <c r="C717" i="618"/>
  <c r="C698" i="618"/>
  <c r="C679" i="618"/>
  <c r="C660" i="618"/>
  <c r="C641" i="618"/>
  <c r="C622" i="618"/>
  <c r="C603" i="618"/>
  <c r="C584" i="618"/>
  <c r="C565" i="618"/>
  <c r="C546" i="618"/>
  <c r="C527" i="618"/>
  <c r="C508" i="618"/>
  <c r="C489" i="618"/>
  <c r="C470" i="618"/>
  <c r="C451" i="618"/>
  <c r="C432" i="618"/>
  <c r="C413" i="618"/>
  <c r="C394" i="618"/>
  <c r="C375" i="618"/>
  <c r="C356" i="618"/>
  <c r="C337" i="618"/>
  <c r="C318" i="618"/>
  <c r="C299" i="618"/>
  <c r="C280" i="618"/>
  <c r="C261" i="618"/>
  <c r="C242" i="618"/>
  <c r="C223" i="618"/>
  <c r="C204" i="618"/>
  <c r="C185" i="618"/>
  <c r="C166" i="618"/>
  <c r="C147" i="618"/>
  <c r="C128" i="618"/>
  <c r="C109" i="618"/>
  <c r="C90" i="618"/>
  <c r="C71" i="618"/>
  <c r="C1002" i="617"/>
  <c r="C983" i="617"/>
  <c r="C964" i="617"/>
  <c r="C945" i="617"/>
  <c r="C926" i="617"/>
  <c r="C907" i="617"/>
  <c r="C888" i="617"/>
  <c r="C869" i="617"/>
  <c r="C850" i="617"/>
  <c r="C831" i="617"/>
  <c r="C812" i="617"/>
  <c r="C793" i="617"/>
  <c r="C774" i="617"/>
  <c r="C755" i="617"/>
  <c r="C736" i="617"/>
  <c r="C717" i="617"/>
  <c r="C698" i="617"/>
  <c r="C679" i="617"/>
  <c r="C660" i="617"/>
  <c r="C641" i="617"/>
  <c r="C622" i="617"/>
  <c r="C603" i="617"/>
  <c r="C584" i="617"/>
  <c r="C565" i="617"/>
  <c r="C546" i="617"/>
  <c r="C527" i="617"/>
  <c r="C508" i="617"/>
  <c r="C489" i="617"/>
  <c r="C470" i="617"/>
  <c r="C451" i="617"/>
  <c r="C432" i="617"/>
  <c r="C413" i="617"/>
  <c r="C394" i="617"/>
  <c r="C375" i="617"/>
  <c r="C356" i="617"/>
  <c r="C337" i="617"/>
  <c r="C318" i="617"/>
  <c r="C299" i="617"/>
  <c r="C280" i="617"/>
  <c r="C261" i="617"/>
  <c r="C242" i="617"/>
  <c r="C223" i="617"/>
  <c r="C204" i="617"/>
  <c r="C185" i="617"/>
  <c r="C166" i="617"/>
  <c r="C147" i="617"/>
  <c r="C128" i="617"/>
  <c r="C109" i="617"/>
  <c r="C90" i="617"/>
  <c r="C71" i="617"/>
  <c r="C1002" i="616"/>
  <c r="C983" i="616"/>
  <c r="C964" i="616"/>
  <c r="C945" i="616"/>
  <c r="C926" i="616"/>
  <c r="C907" i="616"/>
  <c r="C888" i="616"/>
  <c r="C869" i="616"/>
  <c r="C850" i="616"/>
  <c r="C831" i="616"/>
  <c r="C812" i="616"/>
  <c r="C793" i="616"/>
  <c r="C774" i="616"/>
  <c r="C755" i="616"/>
  <c r="C736" i="616"/>
  <c r="C717" i="616"/>
  <c r="C698" i="616"/>
  <c r="C679" i="616"/>
  <c r="C660" i="616"/>
  <c r="C641" i="616"/>
  <c r="C622" i="616"/>
  <c r="C603" i="616"/>
  <c r="C584" i="616"/>
  <c r="C565" i="616"/>
  <c r="C546" i="616"/>
  <c r="C527" i="616"/>
  <c r="C508" i="616"/>
  <c r="C489" i="616"/>
  <c r="C470" i="616"/>
  <c r="C451" i="616"/>
  <c r="C432" i="616"/>
  <c r="C413" i="616"/>
  <c r="C394" i="616"/>
  <c r="C375" i="616"/>
  <c r="C356" i="616"/>
  <c r="C337" i="616"/>
  <c r="C318" i="616"/>
  <c r="C299" i="616"/>
  <c r="C280" i="616"/>
  <c r="C261" i="616"/>
  <c r="C242" i="616"/>
  <c r="C223" i="616"/>
  <c r="C204" i="616"/>
  <c r="C185" i="616"/>
  <c r="C166" i="616"/>
  <c r="C147" i="616"/>
  <c r="C128" i="616"/>
  <c r="C109" i="616"/>
  <c r="C90" i="616"/>
  <c r="C71" i="616"/>
  <c r="C1002" i="615"/>
  <c r="C983" i="615"/>
  <c r="C964" i="615"/>
  <c r="C945" i="615"/>
  <c r="C926" i="615"/>
  <c r="C907" i="615"/>
  <c r="C888" i="615"/>
  <c r="C869" i="615"/>
  <c r="C850" i="615"/>
  <c r="C831" i="615"/>
  <c r="C812" i="615"/>
  <c r="C793" i="615"/>
  <c r="C774" i="615"/>
  <c r="C755" i="615"/>
  <c r="C736" i="615"/>
  <c r="C717" i="615"/>
  <c r="C698" i="615"/>
  <c r="C679" i="615"/>
  <c r="C660" i="615"/>
  <c r="C641" i="615"/>
  <c r="C622" i="615"/>
  <c r="C603" i="615"/>
  <c r="C584" i="615"/>
  <c r="C565" i="615"/>
  <c r="C546" i="615"/>
  <c r="C527" i="615"/>
  <c r="C508" i="615"/>
  <c r="C489" i="615"/>
  <c r="C470" i="615"/>
  <c r="C451" i="615"/>
  <c r="C432" i="615"/>
  <c r="C413" i="615"/>
  <c r="C394" i="615"/>
  <c r="C375" i="615"/>
  <c r="C356" i="615"/>
  <c r="C337" i="615"/>
  <c r="C318" i="615"/>
  <c r="C299" i="615"/>
  <c r="C280" i="615"/>
  <c r="C261" i="615"/>
  <c r="C242" i="615"/>
  <c r="C223" i="615"/>
  <c r="C204" i="615"/>
  <c r="C185" i="615"/>
  <c r="C166" i="615"/>
  <c r="C147" i="615"/>
  <c r="C128" i="615"/>
  <c r="C109" i="615"/>
  <c r="C90" i="615"/>
  <c r="C71" i="615"/>
  <c r="C1002" i="614"/>
  <c r="C983" i="614"/>
  <c r="C964" i="614"/>
  <c r="C945" i="614"/>
  <c r="C926" i="614"/>
  <c r="C907" i="614"/>
  <c r="C888" i="614"/>
  <c r="C869" i="614"/>
  <c r="C850" i="614"/>
  <c r="C831" i="614"/>
  <c r="C812" i="614"/>
  <c r="C793" i="614"/>
  <c r="C774" i="614"/>
  <c r="C755" i="614"/>
  <c r="C736" i="614"/>
  <c r="C717" i="614"/>
  <c r="C698" i="614"/>
  <c r="C679" i="614"/>
  <c r="C660" i="614"/>
  <c r="C641" i="614"/>
  <c r="C622" i="614"/>
  <c r="C603" i="614"/>
  <c r="C584" i="614"/>
  <c r="C565" i="614"/>
  <c r="C546" i="614"/>
  <c r="C527" i="614"/>
  <c r="C508" i="614"/>
  <c r="C489" i="614"/>
  <c r="C470" i="614"/>
  <c r="C451" i="614"/>
  <c r="C432" i="614"/>
  <c r="C413" i="614"/>
  <c r="C394" i="614"/>
  <c r="C375" i="614"/>
  <c r="C356" i="614"/>
  <c r="C337" i="614"/>
  <c r="C318" i="614"/>
  <c r="C299" i="614"/>
  <c r="C280" i="614"/>
  <c r="C261" i="614"/>
  <c r="C242" i="614"/>
  <c r="C223" i="614"/>
  <c r="C204" i="614"/>
  <c r="C185" i="614"/>
  <c r="C166" i="614"/>
  <c r="C147" i="614"/>
  <c r="C128" i="614"/>
  <c r="C109" i="614"/>
  <c r="C90" i="614"/>
  <c r="C71" i="614"/>
  <c r="C1002" i="497"/>
  <c r="C983" i="497"/>
  <c r="C964" i="497"/>
  <c r="C945" i="497"/>
  <c r="C926" i="497"/>
  <c r="C907" i="497"/>
  <c r="C888" i="497"/>
  <c r="C869" i="497"/>
  <c r="C850" i="497"/>
  <c r="C831" i="497"/>
  <c r="C812" i="497"/>
  <c r="C793" i="497"/>
  <c r="C774" i="497"/>
  <c r="C755" i="497"/>
  <c r="C736" i="497"/>
  <c r="C717" i="497"/>
  <c r="C698" i="497"/>
  <c r="C679" i="497"/>
  <c r="C660" i="497"/>
  <c r="C641" i="497"/>
  <c r="C622" i="497"/>
  <c r="C603" i="497"/>
  <c r="C584" i="497"/>
  <c r="C565" i="497"/>
  <c r="C546" i="497"/>
  <c r="C527" i="497"/>
  <c r="C508" i="497"/>
  <c r="C489" i="497"/>
  <c r="C470" i="497"/>
  <c r="C451" i="497"/>
  <c r="C432" i="497"/>
  <c r="C413" i="497"/>
  <c r="C394" i="497"/>
  <c r="C375" i="497"/>
  <c r="C356" i="497"/>
  <c r="C337" i="497"/>
  <c r="C318" i="497"/>
  <c r="C299" i="497"/>
  <c r="C280" i="497"/>
  <c r="C261" i="497"/>
  <c r="C242" i="497"/>
  <c r="C223" i="497"/>
  <c r="C204" i="497"/>
  <c r="C185" i="497"/>
  <c r="C166" i="497"/>
  <c r="C147" i="497"/>
  <c r="C128" i="497"/>
  <c r="C109" i="497"/>
  <c r="C90" i="497"/>
  <c r="C71" i="497"/>
  <c r="E13" i="509"/>
  <c r="E13" i="530"/>
  <c r="CG174" i="546"/>
  <c r="CG173" i="546"/>
  <c r="CG172" i="546"/>
  <c r="CG171" i="546"/>
  <c r="CG170" i="546"/>
  <c r="CG169" i="546"/>
  <c r="CG168" i="546"/>
  <c r="CG167" i="546"/>
  <c r="CG166" i="546"/>
  <c r="CG165" i="546"/>
  <c r="CG164" i="546"/>
  <c r="CG163" i="546"/>
  <c r="CG162" i="546"/>
  <c r="CG161" i="546"/>
  <c r="CG160" i="546"/>
  <c r="CG159" i="546"/>
  <c r="CG158" i="546"/>
  <c r="CG157" i="546"/>
  <c r="CG156" i="546"/>
  <c r="CG155" i="546"/>
  <c r="CG154" i="546"/>
  <c r="CG153" i="546"/>
  <c r="CG152" i="546"/>
  <c r="CG151" i="546"/>
  <c r="CG150" i="546"/>
  <c r="CG149" i="546"/>
  <c r="CG148" i="546"/>
  <c r="CG147" i="546"/>
  <c r="CG146" i="546"/>
  <c r="CG145" i="546"/>
  <c r="CG144" i="546"/>
  <c r="CG143" i="546"/>
  <c r="CG142" i="546"/>
  <c r="CG141" i="546"/>
  <c r="CG140" i="546"/>
  <c r="CG139" i="546"/>
  <c r="CG138" i="546"/>
  <c r="CG137" i="546"/>
  <c r="CG136" i="546"/>
  <c r="CG135" i="546"/>
  <c r="CG134" i="546"/>
  <c r="CG133" i="546"/>
  <c r="CG132" i="546"/>
  <c r="CG131" i="546"/>
  <c r="CG130" i="546"/>
  <c r="CG129" i="546"/>
  <c r="CG128" i="546"/>
  <c r="CG127" i="546"/>
  <c r="CG126" i="546"/>
  <c r="CG125" i="546"/>
  <c r="CG124" i="546"/>
  <c r="CG123" i="546"/>
  <c r="CG122" i="546"/>
  <c r="CG121" i="546"/>
  <c r="CG120" i="546"/>
  <c r="CG119" i="546"/>
  <c r="CG118" i="546"/>
  <c r="CG117" i="546"/>
  <c r="CG116" i="546"/>
  <c r="CG115" i="546"/>
  <c r="CG114" i="546"/>
  <c r="CG113" i="546"/>
  <c r="CG112" i="546"/>
  <c r="CG111" i="546"/>
  <c r="CG110" i="546"/>
  <c r="CG109" i="546"/>
  <c r="CG108" i="546"/>
  <c r="CG107" i="546"/>
  <c r="CG106" i="546"/>
  <c r="CG105" i="546"/>
  <c r="CG104" i="546"/>
  <c r="CG103" i="546"/>
  <c r="CG102" i="546"/>
  <c r="CG101" i="546"/>
  <c r="CG100" i="546"/>
  <c r="CG99" i="546"/>
  <c r="CG98" i="546"/>
  <c r="CG97" i="546"/>
  <c r="CG96" i="546"/>
  <c r="CG95" i="546"/>
  <c r="CG94" i="546"/>
  <c r="CG93" i="546"/>
  <c r="CG92" i="546"/>
  <c r="CG91" i="546"/>
  <c r="CG90" i="546"/>
  <c r="CG89" i="546"/>
  <c r="CG88" i="546"/>
  <c r="CG87" i="546"/>
  <c r="CG86" i="546"/>
  <c r="CG85" i="546"/>
  <c r="CG84" i="546"/>
  <c r="CG83" i="546"/>
  <c r="CG82" i="546"/>
  <c r="CG81" i="546"/>
  <c r="CG80" i="546"/>
  <c r="CG79" i="546"/>
  <c r="CG78" i="546"/>
  <c r="CG77" i="546"/>
  <c r="CG76" i="546"/>
  <c r="CG75" i="546"/>
  <c r="CG74" i="546"/>
  <c r="CG73" i="546"/>
  <c r="CG72" i="546"/>
  <c r="CG71" i="546"/>
  <c r="CG70" i="546"/>
  <c r="CG69" i="546"/>
  <c r="CG68" i="546"/>
  <c r="CG67" i="546"/>
  <c r="CG66" i="546"/>
  <c r="CG65" i="546"/>
  <c r="CG64" i="546"/>
  <c r="CG63" i="546"/>
  <c r="CG62" i="546"/>
  <c r="CG61" i="546"/>
  <c r="CG60" i="546"/>
  <c r="CG59" i="546"/>
  <c r="CG58" i="546"/>
  <c r="CG57" i="546"/>
  <c r="CG56" i="546"/>
  <c r="CG55" i="546"/>
  <c r="CG54" i="546"/>
  <c r="CG53" i="546"/>
  <c r="CG52" i="546"/>
  <c r="CG51" i="546"/>
  <c r="CG50" i="546"/>
  <c r="CG49" i="546"/>
  <c r="CG48" i="546"/>
  <c r="CG47" i="546"/>
  <c r="CG46" i="546"/>
  <c r="CG45" i="546"/>
  <c r="CG44" i="546"/>
  <c r="CG43" i="546"/>
  <c r="CG42" i="546"/>
  <c r="CG41" i="546"/>
  <c r="CG40" i="546"/>
  <c r="CG39" i="546"/>
  <c r="CG38" i="546"/>
  <c r="CG37" i="546"/>
  <c r="CG36" i="546"/>
  <c r="CG35" i="546"/>
  <c r="CG34" i="546"/>
  <c r="CG33" i="546"/>
  <c r="CG32" i="546"/>
  <c r="CG31" i="546"/>
  <c r="CG30" i="546"/>
  <c r="CG29" i="546"/>
  <c r="CG28" i="546"/>
  <c r="CG27" i="546"/>
  <c r="CG26" i="546"/>
  <c r="CG25" i="546"/>
  <c r="CG24" i="546"/>
  <c r="CG23" i="546"/>
  <c r="CG22" i="546"/>
  <c r="CG21" i="546"/>
  <c r="CG20" i="546"/>
  <c r="CG19" i="546"/>
  <c r="CG18" i="546"/>
  <c r="CG17" i="546"/>
  <c r="CG16" i="546"/>
  <c r="CG15" i="546"/>
  <c r="CG14" i="546"/>
  <c r="CG13" i="546"/>
  <c r="CG12" i="546"/>
  <c r="CG11" i="546"/>
  <c r="CG10" i="546"/>
  <c r="CG9" i="546"/>
  <c r="CG8" i="546"/>
  <c r="CG7" i="546"/>
  <c r="CG6" i="546"/>
  <c r="CG5" i="546"/>
  <c r="E97" i="500"/>
  <c r="D9" i="530"/>
  <c r="N97" i="635"/>
  <c r="G91" i="635"/>
  <c r="N90" i="635"/>
  <c r="H86" i="635"/>
  <c r="I86" i="635"/>
  <c r="H81" i="635"/>
  <c r="H76" i="635"/>
  <c r="I76" i="635"/>
  <c r="H71" i="635"/>
  <c r="H66" i="635"/>
  <c r="I66" i="635"/>
  <c r="H61" i="635"/>
  <c r="I61" i="635"/>
  <c r="H56" i="635"/>
  <c r="I56" i="635"/>
  <c r="H51" i="635"/>
  <c r="I51" i="635"/>
  <c r="H46" i="635"/>
  <c r="I46" i="635"/>
  <c r="H41" i="635"/>
  <c r="I41" i="635"/>
  <c r="N97" i="634"/>
  <c r="G91" i="634"/>
  <c r="N90" i="634"/>
  <c r="H86" i="634"/>
  <c r="H81" i="634"/>
  <c r="I81" i="634"/>
  <c r="H76" i="634"/>
  <c r="H71" i="634"/>
  <c r="I71" i="634"/>
  <c r="H66" i="634"/>
  <c r="H61" i="634"/>
  <c r="I61" i="634"/>
  <c r="H56" i="634"/>
  <c r="H51" i="634"/>
  <c r="I51" i="634"/>
  <c r="H46" i="634"/>
  <c r="H41" i="634"/>
  <c r="I41" i="634"/>
  <c r="I76" i="634"/>
  <c r="I66" i="634"/>
  <c r="I56" i="634"/>
  <c r="I46" i="634"/>
  <c r="N97" i="633"/>
  <c r="G91" i="633"/>
  <c r="N90" i="633"/>
  <c r="H86" i="633"/>
  <c r="I86" i="633"/>
  <c r="H81" i="633"/>
  <c r="I81" i="633"/>
  <c r="H76" i="633"/>
  <c r="I76" i="633"/>
  <c r="H71" i="633"/>
  <c r="I71" i="633"/>
  <c r="H66" i="633"/>
  <c r="I66" i="633"/>
  <c r="H61" i="633"/>
  <c r="I61" i="633"/>
  <c r="H56" i="633"/>
  <c r="I56" i="633"/>
  <c r="H51" i="633"/>
  <c r="I51" i="633"/>
  <c r="H46" i="633"/>
  <c r="I46" i="633"/>
  <c r="H41" i="633"/>
  <c r="I41" i="633"/>
  <c r="I91" i="633"/>
  <c r="N97" i="632"/>
  <c r="G91" i="632"/>
  <c r="N90" i="632"/>
  <c r="H86" i="632"/>
  <c r="I86" i="632"/>
  <c r="H81" i="632"/>
  <c r="I81" i="632"/>
  <c r="H76" i="632"/>
  <c r="I76" i="632"/>
  <c r="H71" i="632"/>
  <c r="I71" i="632"/>
  <c r="H66" i="632"/>
  <c r="I66" i="632"/>
  <c r="H61" i="632"/>
  <c r="I61" i="632"/>
  <c r="H56" i="632"/>
  <c r="I56" i="632"/>
  <c r="H51" i="632"/>
  <c r="I51" i="632"/>
  <c r="H46" i="632"/>
  <c r="I46" i="632"/>
  <c r="H41" i="632"/>
  <c r="I41" i="632"/>
  <c r="N97" i="631"/>
  <c r="G91" i="631"/>
  <c r="N90" i="631"/>
  <c r="H86" i="631"/>
  <c r="H81" i="631"/>
  <c r="H76" i="631"/>
  <c r="I76" i="631"/>
  <c r="H71" i="631"/>
  <c r="H66" i="631"/>
  <c r="I66" i="631"/>
  <c r="H61" i="631"/>
  <c r="H56" i="631"/>
  <c r="I56" i="631"/>
  <c r="H51" i="631"/>
  <c r="H46" i="631"/>
  <c r="I46" i="631"/>
  <c r="H41" i="631"/>
  <c r="I81" i="631"/>
  <c r="I71" i="631"/>
  <c r="I61" i="631"/>
  <c r="I51" i="631"/>
  <c r="I41" i="631"/>
  <c r="N97" i="630"/>
  <c r="G91" i="630"/>
  <c r="N90" i="630"/>
  <c r="H86" i="630"/>
  <c r="I86" i="630"/>
  <c r="H81" i="630"/>
  <c r="I81" i="630"/>
  <c r="H76" i="630"/>
  <c r="I76" i="630"/>
  <c r="H71" i="630"/>
  <c r="I71" i="630"/>
  <c r="H66" i="630"/>
  <c r="I66" i="630"/>
  <c r="H61" i="630"/>
  <c r="I61" i="630"/>
  <c r="H56" i="630"/>
  <c r="I56" i="630"/>
  <c r="H51" i="630"/>
  <c r="I51" i="630"/>
  <c r="H46" i="630"/>
  <c r="I46" i="630"/>
  <c r="H41" i="630"/>
  <c r="I41" i="630"/>
  <c r="N97" i="629"/>
  <c r="G91" i="629"/>
  <c r="N90" i="629"/>
  <c r="H86" i="629"/>
  <c r="H81" i="629"/>
  <c r="I81" i="629"/>
  <c r="H76" i="629"/>
  <c r="I76" i="629"/>
  <c r="H71" i="629"/>
  <c r="I71" i="629"/>
  <c r="H66" i="629"/>
  <c r="I66" i="629"/>
  <c r="H61" i="629"/>
  <c r="I61" i="629"/>
  <c r="H56" i="629"/>
  <c r="I56" i="629"/>
  <c r="H51" i="629"/>
  <c r="I51" i="629"/>
  <c r="H46" i="629"/>
  <c r="I46" i="629"/>
  <c r="H41" i="629"/>
  <c r="I41" i="629"/>
  <c r="N97" i="628"/>
  <c r="G91" i="628"/>
  <c r="N90" i="628"/>
  <c r="H86" i="628"/>
  <c r="H81" i="628"/>
  <c r="I81" i="628"/>
  <c r="H76" i="628"/>
  <c r="I76" i="628"/>
  <c r="H71" i="628"/>
  <c r="I71" i="628"/>
  <c r="H66" i="628"/>
  <c r="I66" i="628"/>
  <c r="H61" i="628"/>
  <c r="I61" i="628"/>
  <c r="H56" i="628"/>
  <c r="I56" i="628"/>
  <c r="H51" i="628"/>
  <c r="I51" i="628"/>
  <c r="H46" i="628"/>
  <c r="I46" i="628"/>
  <c r="H41" i="628"/>
  <c r="I41" i="628"/>
  <c r="N97" i="627"/>
  <c r="G91" i="627"/>
  <c r="N90" i="627"/>
  <c r="H86" i="627"/>
  <c r="I86" i="627"/>
  <c r="H81" i="627"/>
  <c r="I81" i="627"/>
  <c r="H76" i="627"/>
  <c r="I76" i="627"/>
  <c r="H71" i="627"/>
  <c r="I71" i="627"/>
  <c r="H66" i="627"/>
  <c r="I66" i="627"/>
  <c r="H61" i="627"/>
  <c r="I61" i="627"/>
  <c r="H56" i="627"/>
  <c r="I56" i="627"/>
  <c r="H51" i="627"/>
  <c r="I51" i="627"/>
  <c r="H46" i="627"/>
  <c r="I46" i="627"/>
  <c r="H41" i="627"/>
  <c r="I41" i="627"/>
  <c r="O11" i="626"/>
  <c r="C6" i="626"/>
  <c r="O4" i="626"/>
  <c r="O167" i="626"/>
  <c r="D167" i="626"/>
  <c r="I175" i="626"/>
  <c r="O175" i="626"/>
  <c r="G161" i="626"/>
  <c r="O160" i="626"/>
  <c r="H156" i="626"/>
  <c r="H151" i="626"/>
  <c r="I151" i="626"/>
  <c r="H146" i="626"/>
  <c r="I146" i="626"/>
  <c r="H141" i="626"/>
  <c r="I141" i="626"/>
  <c r="H136" i="626"/>
  <c r="I136" i="626"/>
  <c r="H131" i="626"/>
  <c r="I131" i="626"/>
  <c r="H126" i="626"/>
  <c r="I126" i="626"/>
  <c r="H121" i="626"/>
  <c r="I121" i="626"/>
  <c r="H116" i="626"/>
  <c r="I116" i="626"/>
  <c r="H111" i="626"/>
  <c r="I111" i="626"/>
  <c r="I105" i="626"/>
  <c r="O105" i="626"/>
  <c r="G91" i="626"/>
  <c r="O90" i="626"/>
  <c r="H86" i="626"/>
  <c r="I86" i="626"/>
  <c r="H81" i="626"/>
  <c r="I81" i="626"/>
  <c r="H76" i="626"/>
  <c r="I76" i="626"/>
  <c r="H71" i="626"/>
  <c r="I71" i="626"/>
  <c r="H66" i="626"/>
  <c r="I66" i="626"/>
  <c r="H61" i="626"/>
  <c r="I61" i="626"/>
  <c r="H56" i="626"/>
  <c r="I56" i="626"/>
  <c r="H51" i="626"/>
  <c r="I51" i="626"/>
  <c r="H46" i="626"/>
  <c r="I46" i="626"/>
  <c r="H41" i="626"/>
  <c r="I41" i="626"/>
  <c r="O11" i="625"/>
  <c r="C6" i="625"/>
  <c r="O4" i="625"/>
  <c r="I175" i="625"/>
  <c r="O175" i="625"/>
  <c r="G161" i="625"/>
  <c r="O160" i="625"/>
  <c r="H156" i="625"/>
  <c r="I156" i="625"/>
  <c r="H151" i="625"/>
  <c r="I151" i="625"/>
  <c r="H146" i="625"/>
  <c r="I146" i="625"/>
  <c r="H141" i="625"/>
  <c r="H136" i="625"/>
  <c r="I136" i="625"/>
  <c r="H131" i="625"/>
  <c r="I131" i="625"/>
  <c r="H126" i="625"/>
  <c r="I126" i="625"/>
  <c r="H121" i="625"/>
  <c r="I121" i="625"/>
  <c r="H116" i="625"/>
  <c r="I116" i="625"/>
  <c r="H111" i="625"/>
  <c r="I111" i="625"/>
  <c r="I105" i="625"/>
  <c r="O105" i="625"/>
  <c r="G91" i="625"/>
  <c r="O90" i="625"/>
  <c r="H86" i="625"/>
  <c r="I86" i="625"/>
  <c r="H81" i="625"/>
  <c r="H76" i="625"/>
  <c r="I76" i="625"/>
  <c r="H71" i="625"/>
  <c r="I71" i="625"/>
  <c r="H66" i="625"/>
  <c r="I66" i="625"/>
  <c r="H61" i="625"/>
  <c r="I61" i="625"/>
  <c r="H56" i="625"/>
  <c r="I56" i="625"/>
  <c r="H51" i="625"/>
  <c r="I51" i="625"/>
  <c r="H46" i="625"/>
  <c r="I46" i="625"/>
  <c r="H41" i="625"/>
  <c r="I41" i="625"/>
  <c r="O11" i="624"/>
  <c r="C6" i="624"/>
  <c r="O4" i="624"/>
  <c r="O97" i="624"/>
  <c r="D97" i="624"/>
  <c r="I175" i="624"/>
  <c r="O175" i="624"/>
  <c r="G161" i="624"/>
  <c r="O160" i="624"/>
  <c r="H156" i="624"/>
  <c r="H151" i="624"/>
  <c r="I151" i="624"/>
  <c r="H146" i="624"/>
  <c r="I146" i="624"/>
  <c r="H141" i="624"/>
  <c r="I141" i="624"/>
  <c r="H136" i="624"/>
  <c r="I136" i="624"/>
  <c r="H131" i="624"/>
  <c r="I131" i="624"/>
  <c r="H126" i="624"/>
  <c r="I126" i="624"/>
  <c r="H121" i="624"/>
  <c r="I121" i="624"/>
  <c r="H116" i="624"/>
  <c r="I116" i="624"/>
  <c r="H111" i="624"/>
  <c r="I111" i="624"/>
  <c r="I105" i="624"/>
  <c r="O105" i="624"/>
  <c r="G91" i="624"/>
  <c r="O90" i="624"/>
  <c r="H86" i="624"/>
  <c r="I86" i="624"/>
  <c r="H81" i="624"/>
  <c r="I81" i="624"/>
  <c r="H76" i="624"/>
  <c r="I76" i="624"/>
  <c r="H71" i="624"/>
  <c r="I71" i="624"/>
  <c r="H66" i="624"/>
  <c r="I66" i="624"/>
  <c r="H61" i="624"/>
  <c r="I61" i="624"/>
  <c r="H56" i="624"/>
  <c r="I56" i="624"/>
  <c r="H51" i="624"/>
  <c r="I51" i="624"/>
  <c r="H46" i="624"/>
  <c r="I46" i="624"/>
  <c r="H41" i="624"/>
  <c r="I41" i="624"/>
  <c r="I91" i="624"/>
  <c r="I81" i="635"/>
  <c r="H91" i="628"/>
  <c r="N91" i="628"/>
  <c r="I86" i="629"/>
  <c r="I86" i="628"/>
  <c r="O167" i="624"/>
  <c r="D167" i="624"/>
  <c r="I175" i="623"/>
  <c r="O175" i="623"/>
  <c r="G161" i="623"/>
  <c r="O160" i="623"/>
  <c r="H156" i="623"/>
  <c r="H151" i="623"/>
  <c r="H146" i="623"/>
  <c r="I146" i="623"/>
  <c r="H141" i="623"/>
  <c r="H136" i="623"/>
  <c r="H131" i="623"/>
  <c r="H126" i="623"/>
  <c r="I126" i="623"/>
  <c r="H121" i="623"/>
  <c r="H116" i="623"/>
  <c r="H111" i="623"/>
  <c r="I141" i="623"/>
  <c r="I136" i="623"/>
  <c r="I131" i="623"/>
  <c r="I121" i="623"/>
  <c r="I116" i="623"/>
  <c r="I111" i="623"/>
  <c r="I105" i="623"/>
  <c r="O105" i="623"/>
  <c r="G91" i="623"/>
  <c r="O90" i="623"/>
  <c r="H86" i="623"/>
  <c r="H81" i="623"/>
  <c r="I81" i="623"/>
  <c r="H76" i="623"/>
  <c r="I76" i="623"/>
  <c r="H71" i="623"/>
  <c r="I71" i="623"/>
  <c r="H66" i="623"/>
  <c r="I66" i="623"/>
  <c r="I86" i="623"/>
  <c r="H61" i="623"/>
  <c r="I61" i="623"/>
  <c r="H56" i="623"/>
  <c r="I56" i="623"/>
  <c r="H51" i="623"/>
  <c r="I51" i="623"/>
  <c r="H46" i="623"/>
  <c r="I46" i="623"/>
  <c r="H41" i="623"/>
  <c r="I41" i="623"/>
  <c r="B2" i="622"/>
  <c r="B50" i="578"/>
  <c r="C1012" i="622"/>
  <c r="L1000" i="622"/>
  <c r="E1000" i="622"/>
  <c r="C993" i="622"/>
  <c r="L981" i="622"/>
  <c r="E981" i="622"/>
  <c r="C974" i="622"/>
  <c r="L962" i="622"/>
  <c r="E962" i="622"/>
  <c r="C955" i="622"/>
  <c r="L943" i="622"/>
  <c r="E943" i="622"/>
  <c r="C936" i="622"/>
  <c r="L924" i="622"/>
  <c r="E924" i="622"/>
  <c r="C917" i="622"/>
  <c r="L905" i="622"/>
  <c r="E905" i="622"/>
  <c r="C898" i="622"/>
  <c r="L886" i="622"/>
  <c r="E886" i="622"/>
  <c r="C879" i="622"/>
  <c r="L867" i="622"/>
  <c r="E867" i="622"/>
  <c r="C860" i="622"/>
  <c r="L848" i="622"/>
  <c r="E848" i="622"/>
  <c r="C841" i="622"/>
  <c r="L829" i="622"/>
  <c r="E829" i="622"/>
  <c r="C822" i="622"/>
  <c r="L810" i="622"/>
  <c r="E810" i="622"/>
  <c r="C803" i="622"/>
  <c r="L791" i="622"/>
  <c r="E791" i="622"/>
  <c r="C784" i="622"/>
  <c r="L772" i="622"/>
  <c r="E772" i="622"/>
  <c r="C765" i="622"/>
  <c r="L753" i="622"/>
  <c r="E753" i="622"/>
  <c r="C746" i="622"/>
  <c r="L734" i="622"/>
  <c r="E734" i="622"/>
  <c r="C727" i="622"/>
  <c r="L715" i="622"/>
  <c r="E715" i="622"/>
  <c r="C708" i="622"/>
  <c r="L696" i="622"/>
  <c r="E696" i="622"/>
  <c r="C689" i="622"/>
  <c r="L677" i="622"/>
  <c r="E677" i="622"/>
  <c r="C670" i="622"/>
  <c r="L658" i="622"/>
  <c r="E658" i="622"/>
  <c r="C651" i="622"/>
  <c r="L639" i="622"/>
  <c r="E639" i="622"/>
  <c r="C632" i="622"/>
  <c r="L620" i="622"/>
  <c r="E620" i="622"/>
  <c r="C613" i="622"/>
  <c r="L601" i="622"/>
  <c r="E601" i="622"/>
  <c r="C594" i="622"/>
  <c r="L582" i="622"/>
  <c r="E582" i="622"/>
  <c r="C575" i="622"/>
  <c r="L563" i="622"/>
  <c r="E563" i="622"/>
  <c r="C556" i="622"/>
  <c r="L544" i="622"/>
  <c r="E544" i="622"/>
  <c r="C537" i="622"/>
  <c r="L525" i="622"/>
  <c r="E525" i="622"/>
  <c r="C518" i="622"/>
  <c r="L506" i="622"/>
  <c r="E506" i="622"/>
  <c r="C499" i="622"/>
  <c r="L487" i="622"/>
  <c r="E487" i="622"/>
  <c r="C480" i="622"/>
  <c r="L468" i="622"/>
  <c r="E468" i="622"/>
  <c r="C461" i="622"/>
  <c r="L449" i="622"/>
  <c r="E449" i="622"/>
  <c r="C442" i="622"/>
  <c r="L430" i="622"/>
  <c r="E430" i="622"/>
  <c r="C423" i="622"/>
  <c r="L411" i="622"/>
  <c r="E411" i="622"/>
  <c r="C404" i="622"/>
  <c r="L392" i="622"/>
  <c r="E392" i="622"/>
  <c r="C385" i="622"/>
  <c r="L373" i="622"/>
  <c r="E373" i="622"/>
  <c r="C366" i="622"/>
  <c r="L354" i="622"/>
  <c r="E354" i="622"/>
  <c r="C347" i="622"/>
  <c r="L335" i="622"/>
  <c r="E335" i="622"/>
  <c r="C328" i="622"/>
  <c r="L316" i="622"/>
  <c r="E316" i="622"/>
  <c r="C309" i="622"/>
  <c r="L297" i="622"/>
  <c r="E297" i="622"/>
  <c r="C290" i="622"/>
  <c r="L278" i="622"/>
  <c r="E278" i="622"/>
  <c r="C271" i="622"/>
  <c r="L259" i="622"/>
  <c r="E259" i="622"/>
  <c r="C252" i="622"/>
  <c r="L240" i="622"/>
  <c r="E240" i="622"/>
  <c r="C233" i="622"/>
  <c r="L221" i="622"/>
  <c r="E221" i="622"/>
  <c r="C214" i="622"/>
  <c r="L202" i="622"/>
  <c r="E202" i="622"/>
  <c r="C195" i="622"/>
  <c r="L183" i="622"/>
  <c r="E183" i="622"/>
  <c r="C176" i="622"/>
  <c r="L164" i="622"/>
  <c r="E164" i="622"/>
  <c r="C157" i="622"/>
  <c r="L145" i="622"/>
  <c r="E145" i="622"/>
  <c r="C138" i="622"/>
  <c r="L126" i="622"/>
  <c r="E126" i="622"/>
  <c r="C119" i="622"/>
  <c r="L107" i="622"/>
  <c r="E107" i="622"/>
  <c r="C100" i="622"/>
  <c r="L88" i="622"/>
  <c r="E88" i="622"/>
  <c r="C81" i="622"/>
  <c r="L69" i="622"/>
  <c r="E69" i="622"/>
  <c r="J60" i="622"/>
  <c r="J63" i="622"/>
  <c r="I60" i="622"/>
  <c r="I63" i="622"/>
  <c r="H60" i="622"/>
  <c r="H63" i="622"/>
  <c r="G60" i="622"/>
  <c r="G63" i="622"/>
  <c r="F60" i="622"/>
  <c r="F63" i="622"/>
  <c r="E60" i="622"/>
  <c r="E63" i="622"/>
  <c r="D60" i="622"/>
  <c r="D63" i="622"/>
  <c r="B2" i="621"/>
  <c r="B45" i="578"/>
  <c r="C1012" i="621"/>
  <c r="L1000" i="621"/>
  <c r="E1000" i="621"/>
  <c r="C993" i="621"/>
  <c r="L981" i="621"/>
  <c r="E981" i="621"/>
  <c r="C974" i="621"/>
  <c r="L962" i="621"/>
  <c r="E962" i="621"/>
  <c r="C955" i="621"/>
  <c r="L943" i="621"/>
  <c r="E943" i="621"/>
  <c r="C936" i="621"/>
  <c r="L924" i="621"/>
  <c r="E924" i="621"/>
  <c r="C917" i="621"/>
  <c r="L905" i="621"/>
  <c r="E905" i="621"/>
  <c r="C898" i="621"/>
  <c r="L886" i="621"/>
  <c r="E886" i="621"/>
  <c r="C879" i="621"/>
  <c r="L867" i="621"/>
  <c r="E867" i="621"/>
  <c r="C860" i="621"/>
  <c r="L848" i="621"/>
  <c r="E848" i="621"/>
  <c r="C841" i="621"/>
  <c r="L829" i="621"/>
  <c r="E829" i="621"/>
  <c r="C822" i="621"/>
  <c r="L810" i="621"/>
  <c r="E810" i="621"/>
  <c r="C803" i="621"/>
  <c r="L791" i="621"/>
  <c r="E791" i="621"/>
  <c r="C784" i="621"/>
  <c r="L772" i="621"/>
  <c r="E772" i="621"/>
  <c r="C765" i="621"/>
  <c r="L753" i="621"/>
  <c r="E753" i="621"/>
  <c r="C746" i="621"/>
  <c r="L734" i="621"/>
  <c r="E734" i="621"/>
  <c r="C727" i="621"/>
  <c r="L715" i="621"/>
  <c r="E715" i="621"/>
  <c r="C708" i="621"/>
  <c r="L696" i="621"/>
  <c r="E696" i="621"/>
  <c r="C689" i="621"/>
  <c r="L677" i="621"/>
  <c r="E677" i="621"/>
  <c r="C670" i="621"/>
  <c r="L658" i="621"/>
  <c r="E658" i="621"/>
  <c r="C651" i="621"/>
  <c r="L639" i="621"/>
  <c r="E639" i="621"/>
  <c r="C632" i="621"/>
  <c r="L620" i="621"/>
  <c r="E620" i="621"/>
  <c r="C613" i="621"/>
  <c r="L601" i="621"/>
  <c r="E601" i="621"/>
  <c r="C594" i="621"/>
  <c r="L582" i="621"/>
  <c r="E582" i="621"/>
  <c r="C575" i="621"/>
  <c r="L563" i="621"/>
  <c r="E563" i="621"/>
  <c r="C556" i="621"/>
  <c r="L544" i="621"/>
  <c r="E544" i="621"/>
  <c r="C537" i="621"/>
  <c r="L525" i="621"/>
  <c r="E525" i="621"/>
  <c r="C518" i="621"/>
  <c r="L506" i="621"/>
  <c r="E506" i="621"/>
  <c r="C499" i="621"/>
  <c r="L487" i="621"/>
  <c r="E487" i="621"/>
  <c r="C480" i="621"/>
  <c r="L468" i="621"/>
  <c r="E468" i="621"/>
  <c r="C461" i="621"/>
  <c r="L449" i="621"/>
  <c r="E449" i="621"/>
  <c r="C442" i="621"/>
  <c r="L430" i="621"/>
  <c r="E430" i="621"/>
  <c r="C423" i="621"/>
  <c r="L411" i="621"/>
  <c r="E411" i="621"/>
  <c r="C404" i="621"/>
  <c r="L392" i="621"/>
  <c r="E392" i="621"/>
  <c r="C385" i="621"/>
  <c r="L373" i="621"/>
  <c r="E373" i="621"/>
  <c r="C366" i="621"/>
  <c r="L354" i="621"/>
  <c r="E354" i="621"/>
  <c r="C347" i="621"/>
  <c r="L335" i="621"/>
  <c r="E335" i="621"/>
  <c r="C328" i="621"/>
  <c r="L316" i="621"/>
  <c r="E316" i="621"/>
  <c r="C309" i="621"/>
  <c r="L297" i="621"/>
  <c r="E297" i="621"/>
  <c r="C290" i="621"/>
  <c r="L278" i="621"/>
  <c r="E278" i="621"/>
  <c r="C271" i="621"/>
  <c r="L259" i="621"/>
  <c r="E259" i="621"/>
  <c r="C252" i="621"/>
  <c r="L240" i="621"/>
  <c r="E240" i="621"/>
  <c r="C233" i="621"/>
  <c r="L221" i="621"/>
  <c r="E221" i="621"/>
  <c r="C214" i="621"/>
  <c r="L202" i="621"/>
  <c r="E202" i="621"/>
  <c r="C195" i="621"/>
  <c r="L183" i="621"/>
  <c r="E183" i="621"/>
  <c r="C176" i="621"/>
  <c r="L164" i="621"/>
  <c r="E164" i="621"/>
  <c r="C157" i="621"/>
  <c r="L145" i="621"/>
  <c r="E145" i="621"/>
  <c r="C138" i="621"/>
  <c r="L126" i="621"/>
  <c r="E126" i="621"/>
  <c r="C119" i="621"/>
  <c r="L107" i="621"/>
  <c r="E107" i="621"/>
  <c r="C100" i="621"/>
  <c r="L88" i="621"/>
  <c r="E88" i="621"/>
  <c r="C81" i="621"/>
  <c r="L69" i="621"/>
  <c r="E69" i="621"/>
  <c r="J60" i="621"/>
  <c r="J63" i="621"/>
  <c r="I60" i="621"/>
  <c r="I63" i="621"/>
  <c r="H60" i="621"/>
  <c r="H63" i="621"/>
  <c r="G60" i="621"/>
  <c r="G63" i="621"/>
  <c r="F60" i="621"/>
  <c r="F63" i="621"/>
  <c r="E60" i="621"/>
  <c r="E63" i="621"/>
  <c r="D60" i="621"/>
  <c r="D63" i="621"/>
  <c r="B2" i="620"/>
  <c r="B40" i="578"/>
  <c r="C1012" i="620"/>
  <c r="L1000" i="620"/>
  <c r="E1000" i="620"/>
  <c r="C993" i="620"/>
  <c r="L981" i="620"/>
  <c r="E981" i="620"/>
  <c r="C974" i="620"/>
  <c r="L962" i="620"/>
  <c r="E962" i="620"/>
  <c r="C955" i="620"/>
  <c r="L943" i="620"/>
  <c r="E943" i="620"/>
  <c r="C936" i="620"/>
  <c r="L924" i="620"/>
  <c r="E924" i="620"/>
  <c r="C917" i="620"/>
  <c r="L905" i="620"/>
  <c r="E905" i="620"/>
  <c r="C898" i="620"/>
  <c r="L886" i="620"/>
  <c r="E886" i="620"/>
  <c r="C879" i="620"/>
  <c r="L867" i="620"/>
  <c r="E867" i="620"/>
  <c r="C860" i="620"/>
  <c r="L848" i="620"/>
  <c r="E848" i="620"/>
  <c r="C841" i="620"/>
  <c r="L829" i="620"/>
  <c r="E829" i="620"/>
  <c r="C822" i="620"/>
  <c r="L810" i="620"/>
  <c r="E810" i="620"/>
  <c r="C803" i="620"/>
  <c r="L791" i="620"/>
  <c r="E791" i="620"/>
  <c r="C784" i="620"/>
  <c r="L772" i="620"/>
  <c r="E772" i="620"/>
  <c r="C765" i="620"/>
  <c r="L753" i="620"/>
  <c r="E753" i="620"/>
  <c r="C746" i="620"/>
  <c r="L734" i="620"/>
  <c r="E734" i="620"/>
  <c r="C727" i="620"/>
  <c r="L715" i="620"/>
  <c r="E715" i="620"/>
  <c r="C708" i="620"/>
  <c r="L696" i="620"/>
  <c r="E696" i="620"/>
  <c r="C689" i="620"/>
  <c r="L677" i="620"/>
  <c r="E677" i="620"/>
  <c r="C670" i="620"/>
  <c r="L658" i="620"/>
  <c r="E658" i="620"/>
  <c r="C651" i="620"/>
  <c r="L639" i="620"/>
  <c r="E639" i="620"/>
  <c r="C632" i="620"/>
  <c r="L620" i="620"/>
  <c r="E620" i="620"/>
  <c r="C613" i="620"/>
  <c r="L601" i="620"/>
  <c r="E601" i="620"/>
  <c r="C594" i="620"/>
  <c r="L582" i="620"/>
  <c r="E582" i="620"/>
  <c r="C575" i="620"/>
  <c r="L563" i="620"/>
  <c r="E563" i="620"/>
  <c r="C556" i="620"/>
  <c r="L544" i="620"/>
  <c r="E544" i="620"/>
  <c r="C537" i="620"/>
  <c r="L525" i="620"/>
  <c r="E525" i="620"/>
  <c r="C518" i="620"/>
  <c r="L506" i="620"/>
  <c r="E506" i="620"/>
  <c r="C499" i="620"/>
  <c r="L487" i="620"/>
  <c r="E487" i="620"/>
  <c r="C480" i="620"/>
  <c r="L468" i="620"/>
  <c r="E468" i="620"/>
  <c r="C461" i="620"/>
  <c r="L449" i="620"/>
  <c r="E449" i="620"/>
  <c r="C442" i="620"/>
  <c r="L430" i="620"/>
  <c r="E430" i="620"/>
  <c r="C423" i="620"/>
  <c r="L411" i="620"/>
  <c r="E411" i="620"/>
  <c r="C404" i="620"/>
  <c r="L392" i="620"/>
  <c r="E392" i="620"/>
  <c r="C385" i="620"/>
  <c r="L373" i="620"/>
  <c r="E373" i="620"/>
  <c r="C366" i="620"/>
  <c r="L354" i="620"/>
  <c r="E354" i="620"/>
  <c r="C347" i="620"/>
  <c r="L335" i="620"/>
  <c r="E335" i="620"/>
  <c r="C328" i="620"/>
  <c r="L316" i="620"/>
  <c r="E316" i="620"/>
  <c r="C309" i="620"/>
  <c r="L297" i="620"/>
  <c r="E297" i="620"/>
  <c r="C290" i="620"/>
  <c r="L278" i="620"/>
  <c r="E278" i="620"/>
  <c r="C271" i="620"/>
  <c r="L259" i="620"/>
  <c r="E259" i="620"/>
  <c r="C252" i="620"/>
  <c r="L240" i="620"/>
  <c r="E240" i="620"/>
  <c r="C233" i="620"/>
  <c r="L221" i="620"/>
  <c r="E221" i="620"/>
  <c r="C214" i="620"/>
  <c r="L202" i="620"/>
  <c r="E202" i="620"/>
  <c r="C195" i="620"/>
  <c r="L183" i="620"/>
  <c r="E183" i="620"/>
  <c r="C176" i="620"/>
  <c r="L164" i="620"/>
  <c r="E164" i="620"/>
  <c r="C157" i="620"/>
  <c r="L145" i="620"/>
  <c r="E145" i="620"/>
  <c r="C138" i="620"/>
  <c r="L126" i="620"/>
  <c r="E126" i="620"/>
  <c r="C119" i="620"/>
  <c r="L107" i="620"/>
  <c r="E107" i="620"/>
  <c r="C100" i="620"/>
  <c r="L88" i="620"/>
  <c r="E88" i="620"/>
  <c r="C81" i="620"/>
  <c r="L69" i="620"/>
  <c r="E69" i="620"/>
  <c r="J60" i="620"/>
  <c r="J63" i="620"/>
  <c r="I60" i="620"/>
  <c r="I63" i="620"/>
  <c r="H60" i="620"/>
  <c r="H63" i="620"/>
  <c r="G60" i="620"/>
  <c r="G63" i="620"/>
  <c r="F60" i="620"/>
  <c r="F63" i="620"/>
  <c r="E60" i="620"/>
  <c r="E63" i="620"/>
  <c r="D60" i="620"/>
  <c r="D63" i="620"/>
  <c r="B2" i="619"/>
  <c r="B35" i="578"/>
  <c r="C1012" i="619"/>
  <c r="L1000" i="619"/>
  <c r="E1000" i="619"/>
  <c r="C993" i="619"/>
  <c r="L981" i="619"/>
  <c r="E981" i="619"/>
  <c r="C974" i="619"/>
  <c r="L962" i="619"/>
  <c r="E962" i="619"/>
  <c r="C955" i="619"/>
  <c r="L943" i="619"/>
  <c r="E943" i="619"/>
  <c r="C936" i="619"/>
  <c r="L924" i="619"/>
  <c r="E924" i="619"/>
  <c r="C917" i="619"/>
  <c r="L905" i="619"/>
  <c r="E905" i="619"/>
  <c r="C898" i="619"/>
  <c r="L886" i="619"/>
  <c r="E886" i="619"/>
  <c r="C879" i="619"/>
  <c r="L867" i="619"/>
  <c r="E867" i="619"/>
  <c r="C860" i="619"/>
  <c r="L848" i="619"/>
  <c r="E848" i="619"/>
  <c r="C841" i="619"/>
  <c r="L829" i="619"/>
  <c r="E829" i="619"/>
  <c r="C822" i="619"/>
  <c r="L810" i="619"/>
  <c r="E810" i="619"/>
  <c r="C803" i="619"/>
  <c r="L791" i="619"/>
  <c r="E791" i="619"/>
  <c r="C784" i="619"/>
  <c r="L772" i="619"/>
  <c r="E772" i="619"/>
  <c r="C765" i="619"/>
  <c r="L753" i="619"/>
  <c r="E753" i="619"/>
  <c r="C746" i="619"/>
  <c r="L734" i="619"/>
  <c r="E734" i="619"/>
  <c r="C727" i="619"/>
  <c r="L715" i="619"/>
  <c r="E715" i="619"/>
  <c r="C708" i="619"/>
  <c r="L696" i="619"/>
  <c r="E696" i="619"/>
  <c r="C689" i="619"/>
  <c r="L677" i="619"/>
  <c r="E677" i="619"/>
  <c r="C670" i="619"/>
  <c r="L658" i="619"/>
  <c r="E658" i="619"/>
  <c r="C651" i="619"/>
  <c r="L639" i="619"/>
  <c r="E639" i="619"/>
  <c r="C632" i="619"/>
  <c r="L620" i="619"/>
  <c r="E620" i="619"/>
  <c r="C613" i="619"/>
  <c r="L601" i="619"/>
  <c r="E601" i="619"/>
  <c r="C594" i="619"/>
  <c r="L582" i="619"/>
  <c r="E582" i="619"/>
  <c r="C575" i="619"/>
  <c r="L563" i="619"/>
  <c r="E563" i="619"/>
  <c r="C556" i="619"/>
  <c r="L544" i="619"/>
  <c r="E544" i="619"/>
  <c r="C537" i="619"/>
  <c r="L525" i="619"/>
  <c r="E525" i="619"/>
  <c r="C518" i="619"/>
  <c r="L506" i="619"/>
  <c r="E506" i="619"/>
  <c r="C499" i="619"/>
  <c r="L487" i="619"/>
  <c r="E487" i="619"/>
  <c r="C480" i="619"/>
  <c r="L468" i="619"/>
  <c r="E468" i="619"/>
  <c r="C461" i="619"/>
  <c r="L449" i="619"/>
  <c r="E449" i="619"/>
  <c r="C442" i="619"/>
  <c r="L430" i="619"/>
  <c r="E430" i="619"/>
  <c r="C423" i="619"/>
  <c r="L411" i="619"/>
  <c r="E411" i="619"/>
  <c r="C404" i="619"/>
  <c r="L392" i="619"/>
  <c r="E392" i="619"/>
  <c r="C385" i="619"/>
  <c r="L373" i="619"/>
  <c r="E373" i="619"/>
  <c r="C366" i="619"/>
  <c r="L354" i="619"/>
  <c r="E354" i="619"/>
  <c r="C347" i="619"/>
  <c r="L335" i="619"/>
  <c r="E335" i="619"/>
  <c r="C328" i="619"/>
  <c r="L316" i="619"/>
  <c r="E316" i="619"/>
  <c r="C309" i="619"/>
  <c r="L297" i="619"/>
  <c r="E297" i="619"/>
  <c r="C290" i="619"/>
  <c r="L278" i="619"/>
  <c r="E278" i="619"/>
  <c r="C271" i="619"/>
  <c r="L259" i="619"/>
  <c r="E259" i="619"/>
  <c r="C252" i="619"/>
  <c r="L240" i="619"/>
  <c r="E240" i="619"/>
  <c r="C233" i="619"/>
  <c r="L221" i="619"/>
  <c r="E221" i="619"/>
  <c r="C214" i="619"/>
  <c r="L202" i="619"/>
  <c r="E202" i="619"/>
  <c r="C195" i="619"/>
  <c r="L183" i="619"/>
  <c r="E183" i="619"/>
  <c r="C176" i="619"/>
  <c r="L164" i="619"/>
  <c r="E164" i="619"/>
  <c r="C157" i="619"/>
  <c r="L145" i="619"/>
  <c r="E145" i="619"/>
  <c r="C138" i="619"/>
  <c r="L126" i="619"/>
  <c r="E126" i="619"/>
  <c r="C119" i="619"/>
  <c r="L107" i="619"/>
  <c r="E107" i="619"/>
  <c r="C100" i="619"/>
  <c r="L88" i="619"/>
  <c r="E88" i="619"/>
  <c r="C81" i="619"/>
  <c r="L69" i="619"/>
  <c r="E69" i="619"/>
  <c r="J60" i="619"/>
  <c r="J63" i="619"/>
  <c r="I60" i="619"/>
  <c r="I63" i="619"/>
  <c r="H60" i="619"/>
  <c r="H63" i="619"/>
  <c r="G60" i="619"/>
  <c r="G63" i="619"/>
  <c r="F60" i="619"/>
  <c r="F63" i="619"/>
  <c r="E60" i="619"/>
  <c r="E63" i="619"/>
  <c r="D60" i="619"/>
  <c r="D63" i="619"/>
  <c r="B2" i="618"/>
  <c r="B30" i="578"/>
  <c r="C1012" i="618"/>
  <c r="L1000" i="618"/>
  <c r="E1000" i="618"/>
  <c r="C993" i="618"/>
  <c r="L981" i="618"/>
  <c r="E981" i="618"/>
  <c r="C974" i="618"/>
  <c r="L962" i="618"/>
  <c r="E962" i="618"/>
  <c r="C955" i="618"/>
  <c r="L943" i="618"/>
  <c r="E943" i="618"/>
  <c r="C936" i="618"/>
  <c r="L924" i="618"/>
  <c r="E924" i="618"/>
  <c r="C917" i="618"/>
  <c r="L905" i="618"/>
  <c r="E905" i="618"/>
  <c r="C898" i="618"/>
  <c r="L886" i="618"/>
  <c r="E886" i="618"/>
  <c r="C879" i="618"/>
  <c r="L867" i="618"/>
  <c r="E867" i="618"/>
  <c r="C860" i="618"/>
  <c r="L848" i="618"/>
  <c r="E848" i="618"/>
  <c r="C841" i="618"/>
  <c r="L829" i="618"/>
  <c r="E829" i="618"/>
  <c r="C822" i="618"/>
  <c r="L810" i="618"/>
  <c r="E810" i="618"/>
  <c r="C803" i="618"/>
  <c r="L791" i="618"/>
  <c r="E791" i="618"/>
  <c r="C784" i="618"/>
  <c r="L772" i="618"/>
  <c r="E772" i="618"/>
  <c r="C765" i="618"/>
  <c r="L753" i="618"/>
  <c r="E753" i="618"/>
  <c r="C746" i="618"/>
  <c r="L734" i="618"/>
  <c r="E734" i="618"/>
  <c r="C727" i="618"/>
  <c r="L715" i="618"/>
  <c r="E715" i="618"/>
  <c r="C708" i="618"/>
  <c r="L696" i="618"/>
  <c r="E696" i="618"/>
  <c r="C689" i="618"/>
  <c r="L677" i="618"/>
  <c r="E677" i="618"/>
  <c r="C670" i="618"/>
  <c r="L658" i="618"/>
  <c r="E658" i="618"/>
  <c r="C651" i="618"/>
  <c r="L639" i="618"/>
  <c r="E639" i="618"/>
  <c r="C632" i="618"/>
  <c r="L620" i="618"/>
  <c r="E620" i="618"/>
  <c r="C613" i="618"/>
  <c r="L601" i="618"/>
  <c r="E601" i="618"/>
  <c r="C594" i="618"/>
  <c r="L582" i="618"/>
  <c r="E582" i="618"/>
  <c r="C575" i="618"/>
  <c r="L563" i="618"/>
  <c r="E563" i="618"/>
  <c r="C556" i="618"/>
  <c r="L544" i="618"/>
  <c r="E544" i="618"/>
  <c r="C537" i="618"/>
  <c r="L525" i="618"/>
  <c r="E525" i="618"/>
  <c r="C518" i="618"/>
  <c r="L506" i="618"/>
  <c r="E506" i="618"/>
  <c r="C499" i="618"/>
  <c r="L487" i="618"/>
  <c r="E487" i="618"/>
  <c r="C480" i="618"/>
  <c r="L468" i="618"/>
  <c r="E468" i="618"/>
  <c r="C461" i="618"/>
  <c r="L449" i="618"/>
  <c r="E449" i="618"/>
  <c r="C442" i="618"/>
  <c r="L430" i="618"/>
  <c r="E430" i="618"/>
  <c r="C423" i="618"/>
  <c r="L411" i="618"/>
  <c r="E411" i="618"/>
  <c r="C404" i="618"/>
  <c r="L392" i="618"/>
  <c r="E392" i="618"/>
  <c r="C385" i="618"/>
  <c r="L373" i="618"/>
  <c r="E373" i="618"/>
  <c r="C366" i="618"/>
  <c r="L354" i="618"/>
  <c r="E354" i="618"/>
  <c r="C347" i="618"/>
  <c r="L335" i="618"/>
  <c r="E335" i="618"/>
  <c r="C328" i="618"/>
  <c r="L316" i="618"/>
  <c r="E316" i="618"/>
  <c r="C309" i="618"/>
  <c r="L297" i="618"/>
  <c r="E297" i="618"/>
  <c r="C290" i="618"/>
  <c r="L278" i="618"/>
  <c r="E278" i="618"/>
  <c r="C271" i="618"/>
  <c r="L259" i="618"/>
  <c r="E259" i="618"/>
  <c r="C252" i="618"/>
  <c r="L240" i="618"/>
  <c r="E240" i="618"/>
  <c r="C233" i="618"/>
  <c r="L221" i="618"/>
  <c r="E221" i="618"/>
  <c r="C214" i="618"/>
  <c r="L202" i="618"/>
  <c r="E202" i="618"/>
  <c r="C195" i="618"/>
  <c r="L183" i="618"/>
  <c r="E183" i="618"/>
  <c r="C176" i="618"/>
  <c r="L164" i="618"/>
  <c r="E164" i="618"/>
  <c r="C157" i="618"/>
  <c r="L145" i="618"/>
  <c r="E145" i="618"/>
  <c r="C138" i="618"/>
  <c r="L126" i="618"/>
  <c r="E126" i="618"/>
  <c r="C119" i="618"/>
  <c r="L107" i="618"/>
  <c r="E107" i="618"/>
  <c r="C100" i="618"/>
  <c r="L88" i="618"/>
  <c r="E88" i="618"/>
  <c r="C81" i="618"/>
  <c r="L69" i="618"/>
  <c r="E69" i="618"/>
  <c r="J60" i="618"/>
  <c r="J63" i="618"/>
  <c r="I60" i="618"/>
  <c r="I63" i="618"/>
  <c r="H60" i="618"/>
  <c r="H63" i="618"/>
  <c r="G60" i="618"/>
  <c r="G63" i="618"/>
  <c r="F60" i="618"/>
  <c r="F63" i="618"/>
  <c r="E60" i="618"/>
  <c r="E63" i="618"/>
  <c r="D60" i="618"/>
  <c r="D63" i="618"/>
  <c r="B2" i="617"/>
  <c r="B25" i="578"/>
  <c r="C1012" i="617"/>
  <c r="L1000" i="617"/>
  <c r="E1000" i="617"/>
  <c r="C993" i="617"/>
  <c r="L981" i="617"/>
  <c r="E981" i="617"/>
  <c r="C974" i="617"/>
  <c r="L962" i="617"/>
  <c r="E962" i="617"/>
  <c r="C955" i="617"/>
  <c r="L943" i="617"/>
  <c r="E943" i="617"/>
  <c r="C936" i="617"/>
  <c r="L924" i="617"/>
  <c r="E924" i="617"/>
  <c r="C917" i="617"/>
  <c r="L905" i="617"/>
  <c r="E905" i="617"/>
  <c r="C898" i="617"/>
  <c r="L886" i="617"/>
  <c r="E886" i="617"/>
  <c r="C879" i="617"/>
  <c r="L867" i="617"/>
  <c r="E867" i="617"/>
  <c r="C860" i="617"/>
  <c r="L848" i="617"/>
  <c r="E848" i="617"/>
  <c r="C841" i="617"/>
  <c r="L829" i="617"/>
  <c r="E829" i="617"/>
  <c r="C822" i="617"/>
  <c r="L810" i="617"/>
  <c r="E810" i="617"/>
  <c r="C803" i="617"/>
  <c r="L791" i="617"/>
  <c r="E791" i="617"/>
  <c r="C784" i="617"/>
  <c r="L772" i="617"/>
  <c r="E772" i="617"/>
  <c r="C765" i="617"/>
  <c r="L753" i="617"/>
  <c r="E753" i="617"/>
  <c r="C746" i="617"/>
  <c r="L734" i="617"/>
  <c r="E734" i="617"/>
  <c r="C727" i="617"/>
  <c r="L715" i="617"/>
  <c r="E715" i="617"/>
  <c r="C708" i="617"/>
  <c r="L696" i="617"/>
  <c r="E696" i="617"/>
  <c r="C689" i="617"/>
  <c r="L677" i="617"/>
  <c r="E677" i="617"/>
  <c r="C670" i="617"/>
  <c r="L658" i="617"/>
  <c r="E658" i="617"/>
  <c r="C651" i="617"/>
  <c r="L639" i="617"/>
  <c r="E639" i="617"/>
  <c r="C632" i="617"/>
  <c r="L620" i="617"/>
  <c r="E620" i="617"/>
  <c r="C613" i="617"/>
  <c r="L601" i="617"/>
  <c r="E601" i="617"/>
  <c r="C594" i="617"/>
  <c r="L582" i="617"/>
  <c r="E582" i="617"/>
  <c r="C575" i="617"/>
  <c r="L563" i="617"/>
  <c r="E563" i="617"/>
  <c r="C556" i="617"/>
  <c r="L544" i="617"/>
  <c r="E544" i="617"/>
  <c r="C537" i="617"/>
  <c r="L525" i="617"/>
  <c r="E525" i="617"/>
  <c r="C518" i="617"/>
  <c r="L506" i="617"/>
  <c r="E506" i="617"/>
  <c r="C499" i="617"/>
  <c r="L487" i="617"/>
  <c r="E487" i="617"/>
  <c r="C480" i="617"/>
  <c r="L468" i="617"/>
  <c r="E468" i="617"/>
  <c r="C461" i="617"/>
  <c r="L449" i="617"/>
  <c r="E449" i="617"/>
  <c r="C442" i="617"/>
  <c r="L430" i="617"/>
  <c r="E430" i="617"/>
  <c r="C423" i="617"/>
  <c r="L411" i="617"/>
  <c r="E411" i="617"/>
  <c r="C404" i="617"/>
  <c r="L392" i="617"/>
  <c r="E392" i="617"/>
  <c r="C385" i="617"/>
  <c r="L373" i="617"/>
  <c r="E373" i="617"/>
  <c r="C366" i="617"/>
  <c r="L354" i="617"/>
  <c r="E354" i="617"/>
  <c r="C347" i="617"/>
  <c r="L335" i="617"/>
  <c r="E335" i="617"/>
  <c r="C328" i="617"/>
  <c r="L316" i="617"/>
  <c r="E316" i="617"/>
  <c r="C309" i="617"/>
  <c r="L297" i="617"/>
  <c r="E297" i="617"/>
  <c r="C290" i="617"/>
  <c r="L278" i="617"/>
  <c r="E278" i="617"/>
  <c r="C271" i="617"/>
  <c r="L259" i="617"/>
  <c r="E259" i="617"/>
  <c r="C252" i="617"/>
  <c r="L240" i="617"/>
  <c r="E240" i="617"/>
  <c r="C233" i="617"/>
  <c r="L221" i="617"/>
  <c r="E221" i="617"/>
  <c r="C214" i="617"/>
  <c r="L202" i="617"/>
  <c r="E202" i="617"/>
  <c r="C195" i="617"/>
  <c r="L183" i="617"/>
  <c r="E183" i="617"/>
  <c r="C176" i="617"/>
  <c r="L164" i="617"/>
  <c r="E164" i="617"/>
  <c r="C157" i="617"/>
  <c r="L145" i="617"/>
  <c r="E145" i="617"/>
  <c r="C138" i="617"/>
  <c r="L126" i="617"/>
  <c r="E126" i="617"/>
  <c r="C119" i="617"/>
  <c r="L107" i="617"/>
  <c r="E107" i="617"/>
  <c r="C100" i="617"/>
  <c r="L88" i="617"/>
  <c r="E88" i="617"/>
  <c r="C81" i="617"/>
  <c r="L69" i="617"/>
  <c r="E69" i="617"/>
  <c r="J60" i="617"/>
  <c r="J63" i="617"/>
  <c r="I60" i="617"/>
  <c r="I63" i="617"/>
  <c r="H60" i="617"/>
  <c r="H63" i="617"/>
  <c r="G60" i="617"/>
  <c r="G63" i="617"/>
  <c r="F60" i="617"/>
  <c r="F63" i="617"/>
  <c r="E60" i="617"/>
  <c r="E63" i="617"/>
  <c r="D60" i="617"/>
  <c r="D63" i="617"/>
  <c r="B2" i="616"/>
  <c r="B20" i="578"/>
  <c r="C1012" i="616"/>
  <c r="L1000" i="616"/>
  <c r="E1000" i="616"/>
  <c r="C993" i="616"/>
  <c r="L981" i="616"/>
  <c r="E981" i="616"/>
  <c r="C974" i="616"/>
  <c r="L962" i="616"/>
  <c r="E962" i="616"/>
  <c r="C955" i="616"/>
  <c r="L943" i="616"/>
  <c r="E943" i="616"/>
  <c r="C936" i="616"/>
  <c r="L924" i="616"/>
  <c r="E924" i="616"/>
  <c r="C917" i="616"/>
  <c r="L905" i="616"/>
  <c r="E905" i="616"/>
  <c r="C898" i="616"/>
  <c r="L886" i="616"/>
  <c r="E886" i="616"/>
  <c r="C879" i="616"/>
  <c r="L867" i="616"/>
  <c r="E867" i="616"/>
  <c r="C860" i="616"/>
  <c r="L848" i="616"/>
  <c r="E848" i="616"/>
  <c r="C841" i="616"/>
  <c r="L829" i="616"/>
  <c r="E829" i="616"/>
  <c r="C822" i="616"/>
  <c r="L810" i="616"/>
  <c r="E810" i="616"/>
  <c r="C803" i="616"/>
  <c r="L791" i="616"/>
  <c r="E791" i="616"/>
  <c r="C784" i="616"/>
  <c r="L772" i="616"/>
  <c r="E772" i="616"/>
  <c r="C765" i="616"/>
  <c r="L753" i="616"/>
  <c r="E753" i="616"/>
  <c r="C746" i="616"/>
  <c r="L734" i="616"/>
  <c r="E734" i="616"/>
  <c r="C727" i="616"/>
  <c r="L715" i="616"/>
  <c r="E715" i="616"/>
  <c r="C708" i="616"/>
  <c r="L696" i="616"/>
  <c r="E696" i="616"/>
  <c r="C689" i="616"/>
  <c r="L677" i="616"/>
  <c r="E677" i="616"/>
  <c r="C670" i="616"/>
  <c r="L658" i="616"/>
  <c r="E658" i="616"/>
  <c r="C651" i="616"/>
  <c r="L639" i="616"/>
  <c r="E639" i="616"/>
  <c r="C632" i="616"/>
  <c r="L620" i="616"/>
  <c r="E620" i="616"/>
  <c r="C613" i="616"/>
  <c r="L601" i="616"/>
  <c r="E601" i="616"/>
  <c r="C594" i="616"/>
  <c r="L582" i="616"/>
  <c r="E582" i="616"/>
  <c r="C575" i="616"/>
  <c r="L563" i="616"/>
  <c r="E563" i="616"/>
  <c r="C556" i="616"/>
  <c r="L544" i="616"/>
  <c r="E544" i="616"/>
  <c r="C537" i="616"/>
  <c r="L525" i="616"/>
  <c r="E525" i="616"/>
  <c r="C518" i="616"/>
  <c r="L506" i="616"/>
  <c r="E506" i="616"/>
  <c r="C499" i="616"/>
  <c r="L487" i="616"/>
  <c r="E487" i="616"/>
  <c r="C480" i="616"/>
  <c r="L468" i="616"/>
  <c r="E468" i="616"/>
  <c r="C461" i="616"/>
  <c r="L449" i="616"/>
  <c r="E449" i="616"/>
  <c r="C442" i="616"/>
  <c r="L430" i="616"/>
  <c r="E430" i="616"/>
  <c r="C423" i="616"/>
  <c r="L411" i="616"/>
  <c r="E411" i="616"/>
  <c r="C404" i="616"/>
  <c r="L392" i="616"/>
  <c r="E392" i="616"/>
  <c r="C385" i="616"/>
  <c r="L373" i="616"/>
  <c r="E373" i="616"/>
  <c r="C366" i="616"/>
  <c r="L354" i="616"/>
  <c r="E354" i="616"/>
  <c r="C347" i="616"/>
  <c r="L335" i="616"/>
  <c r="E335" i="616"/>
  <c r="C328" i="616"/>
  <c r="L316" i="616"/>
  <c r="E316" i="616"/>
  <c r="C309" i="616"/>
  <c r="L297" i="616"/>
  <c r="E297" i="616"/>
  <c r="C290" i="616"/>
  <c r="L278" i="616"/>
  <c r="E278" i="616"/>
  <c r="C271" i="616"/>
  <c r="L259" i="616"/>
  <c r="E259" i="616"/>
  <c r="C252" i="616"/>
  <c r="L240" i="616"/>
  <c r="E240" i="616"/>
  <c r="C233" i="616"/>
  <c r="L221" i="616"/>
  <c r="E221" i="616"/>
  <c r="C214" i="616"/>
  <c r="L202" i="616"/>
  <c r="E202" i="616"/>
  <c r="C195" i="616"/>
  <c r="L183" i="616"/>
  <c r="E183" i="616"/>
  <c r="C176" i="616"/>
  <c r="L164" i="616"/>
  <c r="E164" i="616"/>
  <c r="C157" i="616"/>
  <c r="L145" i="616"/>
  <c r="E145" i="616"/>
  <c r="C138" i="616"/>
  <c r="L126" i="616"/>
  <c r="E126" i="616"/>
  <c r="C119" i="616"/>
  <c r="L107" i="616"/>
  <c r="E107" i="616"/>
  <c r="C100" i="616"/>
  <c r="L88" i="616"/>
  <c r="E88" i="616"/>
  <c r="C81" i="616"/>
  <c r="L69" i="616"/>
  <c r="E69" i="616"/>
  <c r="J60" i="616"/>
  <c r="J63" i="616"/>
  <c r="I60" i="616"/>
  <c r="I63" i="616"/>
  <c r="H60" i="616"/>
  <c r="H63" i="616"/>
  <c r="G60" i="616"/>
  <c r="G63" i="616"/>
  <c r="F60" i="616"/>
  <c r="F63" i="616"/>
  <c r="E60" i="616"/>
  <c r="E63" i="616"/>
  <c r="D60" i="616"/>
  <c r="D63" i="616"/>
  <c r="B2" i="615"/>
  <c r="B15" i="578"/>
  <c r="C1012" i="615"/>
  <c r="L1000" i="615"/>
  <c r="E1000" i="615"/>
  <c r="C993" i="615"/>
  <c r="L981" i="615"/>
  <c r="E981" i="615"/>
  <c r="C974" i="615"/>
  <c r="L962" i="615"/>
  <c r="E962" i="615"/>
  <c r="C955" i="615"/>
  <c r="L943" i="615"/>
  <c r="E943" i="615"/>
  <c r="C936" i="615"/>
  <c r="L924" i="615"/>
  <c r="E924" i="615"/>
  <c r="C917" i="615"/>
  <c r="L905" i="615"/>
  <c r="E905" i="615"/>
  <c r="C898" i="615"/>
  <c r="L886" i="615"/>
  <c r="E886" i="615"/>
  <c r="C879" i="615"/>
  <c r="L867" i="615"/>
  <c r="E867" i="615"/>
  <c r="C860" i="615"/>
  <c r="L848" i="615"/>
  <c r="E848" i="615"/>
  <c r="C841" i="615"/>
  <c r="L829" i="615"/>
  <c r="E829" i="615"/>
  <c r="C822" i="615"/>
  <c r="L810" i="615"/>
  <c r="E810" i="615"/>
  <c r="C803" i="615"/>
  <c r="L791" i="615"/>
  <c r="E791" i="615"/>
  <c r="C784" i="615"/>
  <c r="L772" i="615"/>
  <c r="E772" i="615"/>
  <c r="C765" i="615"/>
  <c r="L753" i="615"/>
  <c r="E753" i="615"/>
  <c r="C746" i="615"/>
  <c r="L734" i="615"/>
  <c r="E734" i="615"/>
  <c r="C727" i="615"/>
  <c r="L715" i="615"/>
  <c r="E715" i="615"/>
  <c r="C708" i="615"/>
  <c r="L696" i="615"/>
  <c r="E696" i="615"/>
  <c r="C689" i="615"/>
  <c r="L677" i="615"/>
  <c r="E677" i="615"/>
  <c r="C670" i="615"/>
  <c r="L658" i="615"/>
  <c r="E658" i="615"/>
  <c r="C651" i="615"/>
  <c r="L639" i="615"/>
  <c r="E639" i="615"/>
  <c r="C632" i="615"/>
  <c r="L620" i="615"/>
  <c r="E620" i="615"/>
  <c r="C613" i="615"/>
  <c r="L601" i="615"/>
  <c r="E601" i="615"/>
  <c r="C594" i="615"/>
  <c r="L582" i="615"/>
  <c r="E582" i="615"/>
  <c r="C575" i="615"/>
  <c r="L563" i="615"/>
  <c r="E563" i="615"/>
  <c r="C556" i="615"/>
  <c r="L544" i="615"/>
  <c r="E544" i="615"/>
  <c r="C537" i="615"/>
  <c r="L525" i="615"/>
  <c r="E525" i="615"/>
  <c r="C518" i="615"/>
  <c r="L506" i="615"/>
  <c r="E506" i="615"/>
  <c r="C499" i="615"/>
  <c r="L487" i="615"/>
  <c r="E487" i="615"/>
  <c r="C480" i="615"/>
  <c r="L468" i="615"/>
  <c r="E468" i="615"/>
  <c r="C461" i="615"/>
  <c r="L449" i="615"/>
  <c r="E449" i="615"/>
  <c r="C442" i="615"/>
  <c r="L430" i="615"/>
  <c r="E430" i="615"/>
  <c r="C423" i="615"/>
  <c r="L411" i="615"/>
  <c r="E411" i="615"/>
  <c r="C404" i="615"/>
  <c r="L392" i="615"/>
  <c r="E392" i="615"/>
  <c r="C385" i="615"/>
  <c r="L373" i="615"/>
  <c r="E373" i="615"/>
  <c r="C366" i="615"/>
  <c r="L354" i="615"/>
  <c r="E354" i="615"/>
  <c r="C347" i="615"/>
  <c r="L335" i="615"/>
  <c r="E335" i="615"/>
  <c r="C328" i="615"/>
  <c r="L316" i="615"/>
  <c r="E316" i="615"/>
  <c r="C309" i="615"/>
  <c r="L297" i="615"/>
  <c r="E297" i="615"/>
  <c r="C290" i="615"/>
  <c r="L278" i="615"/>
  <c r="E278" i="615"/>
  <c r="C271" i="615"/>
  <c r="L259" i="615"/>
  <c r="E259" i="615"/>
  <c r="C252" i="615"/>
  <c r="L240" i="615"/>
  <c r="E240" i="615"/>
  <c r="C233" i="615"/>
  <c r="L221" i="615"/>
  <c r="E221" i="615"/>
  <c r="C214" i="615"/>
  <c r="L202" i="615"/>
  <c r="E202" i="615"/>
  <c r="C195" i="615"/>
  <c r="L183" i="615"/>
  <c r="E183" i="615"/>
  <c r="C176" i="615"/>
  <c r="L164" i="615"/>
  <c r="E164" i="615"/>
  <c r="C157" i="615"/>
  <c r="L145" i="615"/>
  <c r="E145" i="615"/>
  <c r="C138" i="615"/>
  <c r="L126" i="615"/>
  <c r="E126" i="615"/>
  <c r="C119" i="615"/>
  <c r="L107" i="615"/>
  <c r="E107" i="615"/>
  <c r="C100" i="615"/>
  <c r="L88" i="615"/>
  <c r="E88" i="615"/>
  <c r="C81" i="615"/>
  <c r="L69" i="615"/>
  <c r="E69" i="615"/>
  <c r="J60" i="615"/>
  <c r="J63" i="615"/>
  <c r="I60" i="615"/>
  <c r="I63" i="615"/>
  <c r="H60" i="615"/>
  <c r="H63" i="615"/>
  <c r="G60" i="615"/>
  <c r="G63" i="615"/>
  <c r="F60" i="615"/>
  <c r="F63" i="615"/>
  <c r="E60" i="615"/>
  <c r="E63" i="615"/>
  <c r="D60" i="615"/>
  <c r="D63" i="615"/>
  <c r="B2" i="614"/>
  <c r="B10" i="578"/>
  <c r="C1012" i="614"/>
  <c r="L1000" i="614"/>
  <c r="E1000" i="614"/>
  <c r="C993" i="614"/>
  <c r="L981" i="614"/>
  <c r="E981" i="614"/>
  <c r="C974" i="614"/>
  <c r="L962" i="614"/>
  <c r="E962" i="614"/>
  <c r="C955" i="614"/>
  <c r="L943" i="614"/>
  <c r="E943" i="614"/>
  <c r="C936" i="614"/>
  <c r="L924" i="614"/>
  <c r="E924" i="614"/>
  <c r="C917" i="614"/>
  <c r="L905" i="614"/>
  <c r="E905" i="614"/>
  <c r="C898" i="614"/>
  <c r="L886" i="614"/>
  <c r="E886" i="614"/>
  <c r="C879" i="614"/>
  <c r="L867" i="614"/>
  <c r="E867" i="614"/>
  <c r="C860" i="614"/>
  <c r="L848" i="614"/>
  <c r="E848" i="614"/>
  <c r="C841" i="614"/>
  <c r="L829" i="614"/>
  <c r="E829" i="614"/>
  <c r="C822" i="614"/>
  <c r="L810" i="614"/>
  <c r="E810" i="614"/>
  <c r="C803" i="614"/>
  <c r="L791" i="614"/>
  <c r="E791" i="614"/>
  <c r="C784" i="614"/>
  <c r="L772" i="614"/>
  <c r="E772" i="614"/>
  <c r="C765" i="614"/>
  <c r="L753" i="614"/>
  <c r="E753" i="614"/>
  <c r="C746" i="614"/>
  <c r="L734" i="614"/>
  <c r="E734" i="614"/>
  <c r="C727" i="614"/>
  <c r="L715" i="614"/>
  <c r="E715" i="614"/>
  <c r="C708" i="614"/>
  <c r="L696" i="614"/>
  <c r="E696" i="614"/>
  <c r="C689" i="614"/>
  <c r="L677" i="614"/>
  <c r="E677" i="614"/>
  <c r="C670" i="614"/>
  <c r="L658" i="614"/>
  <c r="E658" i="614"/>
  <c r="C651" i="614"/>
  <c r="L639" i="614"/>
  <c r="E639" i="614"/>
  <c r="C632" i="614"/>
  <c r="L620" i="614"/>
  <c r="E620" i="614"/>
  <c r="C613" i="614"/>
  <c r="L601" i="614"/>
  <c r="E601" i="614"/>
  <c r="C594" i="614"/>
  <c r="L582" i="614"/>
  <c r="E582" i="614"/>
  <c r="C575" i="614"/>
  <c r="L563" i="614"/>
  <c r="E563" i="614"/>
  <c r="C556" i="614"/>
  <c r="L544" i="614"/>
  <c r="E544" i="614"/>
  <c r="C537" i="614"/>
  <c r="L525" i="614"/>
  <c r="E525" i="614"/>
  <c r="C518" i="614"/>
  <c r="L506" i="614"/>
  <c r="E506" i="614"/>
  <c r="C499" i="614"/>
  <c r="L487" i="614"/>
  <c r="E487" i="614"/>
  <c r="C480" i="614"/>
  <c r="L468" i="614"/>
  <c r="E468" i="614"/>
  <c r="C461" i="614"/>
  <c r="L449" i="614"/>
  <c r="E449" i="614"/>
  <c r="C442" i="614"/>
  <c r="L430" i="614"/>
  <c r="E430" i="614"/>
  <c r="C423" i="614"/>
  <c r="L411" i="614"/>
  <c r="E411" i="614"/>
  <c r="C404" i="614"/>
  <c r="L392" i="614"/>
  <c r="E392" i="614"/>
  <c r="C385" i="614"/>
  <c r="L373" i="614"/>
  <c r="E373" i="614"/>
  <c r="C366" i="614"/>
  <c r="L354" i="614"/>
  <c r="E354" i="614"/>
  <c r="C347" i="614"/>
  <c r="L335" i="614"/>
  <c r="E335" i="614"/>
  <c r="C328" i="614"/>
  <c r="L316" i="614"/>
  <c r="E316" i="614"/>
  <c r="C309" i="614"/>
  <c r="L297" i="614"/>
  <c r="E297" i="614"/>
  <c r="C290" i="614"/>
  <c r="L278" i="614"/>
  <c r="E278" i="614"/>
  <c r="C271" i="614"/>
  <c r="L259" i="614"/>
  <c r="E259" i="614"/>
  <c r="C252" i="614"/>
  <c r="L240" i="614"/>
  <c r="E240" i="614"/>
  <c r="C233" i="614"/>
  <c r="L221" i="614"/>
  <c r="E221" i="614"/>
  <c r="C214" i="614"/>
  <c r="L202" i="614"/>
  <c r="E202" i="614"/>
  <c r="C195" i="614"/>
  <c r="L183" i="614"/>
  <c r="E183" i="614"/>
  <c r="C176" i="614"/>
  <c r="L164" i="614"/>
  <c r="E164" i="614"/>
  <c r="C157" i="614"/>
  <c r="L145" i="614"/>
  <c r="E145" i="614"/>
  <c r="C138" i="614"/>
  <c r="L126" i="614"/>
  <c r="E126" i="614"/>
  <c r="C119" i="614"/>
  <c r="L107" i="614"/>
  <c r="E107" i="614"/>
  <c r="C100" i="614"/>
  <c r="L88" i="614"/>
  <c r="E88" i="614"/>
  <c r="C81" i="614"/>
  <c r="L69" i="614"/>
  <c r="E69" i="614"/>
  <c r="J60" i="614"/>
  <c r="J63" i="614"/>
  <c r="I60" i="614"/>
  <c r="I63" i="614"/>
  <c r="H60" i="614"/>
  <c r="H63" i="614"/>
  <c r="G60" i="614"/>
  <c r="G63" i="614"/>
  <c r="F60" i="614"/>
  <c r="F63" i="614"/>
  <c r="E60" i="614"/>
  <c r="E63" i="614"/>
  <c r="D60" i="614"/>
  <c r="D63" i="614"/>
  <c r="F134" i="604"/>
  <c r="F128" i="604"/>
  <c r="F122" i="604"/>
  <c r="F116" i="604"/>
  <c r="F110" i="604"/>
  <c r="F104" i="604"/>
  <c r="F98" i="604"/>
  <c r="F92" i="604"/>
  <c r="F86" i="604"/>
  <c r="F80" i="604"/>
  <c r="F74" i="604"/>
  <c r="F68" i="604"/>
  <c r="F62" i="604"/>
  <c r="F56" i="604"/>
  <c r="F50" i="604"/>
  <c r="F44" i="604"/>
  <c r="F38" i="604"/>
  <c r="F32" i="604"/>
  <c r="F26" i="604"/>
  <c r="F20" i="604"/>
  <c r="F14" i="604"/>
  <c r="F121" i="603"/>
  <c r="F117" i="603"/>
  <c r="F107" i="603"/>
  <c r="F108" i="603"/>
  <c r="F109" i="603"/>
  <c r="F110" i="603"/>
  <c r="F111" i="603"/>
  <c r="F106" i="603"/>
  <c r="F88" i="603"/>
  <c r="F86" i="603"/>
  <c r="F82" i="603"/>
  <c r="F80" i="603"/>
  <c r="F76" i="603"/>
  <c r="F74" i="603"/>
  <c r="F70" i="603"/>
  <c r="F68" i="603"/>
  <c r="F45" i="603"/>
  <c r="F43" i="603"/>
  <c r="F39" i="603"/>
  <c r="F37" i="603"/>
  <c r="F33" i="603"/>
  <c r="F31" i="603"/>
  <c r="F27" i="603"/>
  <c r="F25" i="603"/>
  <c r="F10" i="603"/>
  <c r="F11" i="603"/>
  <c r="F12" i="603"/>
  <c r="F270" i="606"/>
  <c r="F269" i="606"/>
  <c r="F268" i="606"/>
  <c r="F267" i="606"/>
  <c r="F266" i="606"/>
  <c r="F265" i="606"/>
  <c r="F261" i="606"/>
  <c r="F260" i="606"/>
  <c r="F259" i="606"/>
  <c r="F258" i="606"/>
  <c r="F257" i="606"/>
  <c r="F256" i="606"/>
  <c r="F252" i="606"/>
  <c r="F251" i="606"/>
  <c r="F250" i="606"/>
  <c r="F249" i="606"/>
  <c r="F248" i="606"/>
  <c r="F247" i="606"/>
  <c r="F243" i="606"/>
  <c r="F242" i="606"/>
  <c r="F241" i="606"/>
  <c r="F240" i="606"/>
  <c r="F239" i="606"/>
  <c r="F238" i="606"/>
  <c r="F234" i="606"/>
  <c r="F233" i="606"/>
  <c r="F232" i="606"/>
  <c r="F231" i="606"/>
  <c r="F230" i="606"/>
  <c r="F229" i="606"/>
  <c r="F225" i="606"/>
  <c r="F224" i="606"/>
  <c r="F223" i="606"/>
  <c r="F222" i="606"/>
  <c r="F221" i="606"/>
  <c r="F220" i="606"/>
  <c r="F216" i="606"/>
  <c r="F215" i="606"/>
  <c r="F214" i="606"/>
  <c r="F213" i="606"/>
  <c r="F212" i="606"/>
  <c r="F211" i="606"/>
  <c r="F207" i="606"/>
  <c r="F206" i="606"/>
  <c r="F205" i="606"/>
  <c r="F204" i="606"/>
  <c r="F203" i="606"/>
  <c r="F202" i="606"/>
  <c r="F198" i="606"/>
  <c r="F197" i="606"/>
  <c r="F196" i="606"/>
  <c r="F195" i="606"/>
  <c r="F194" i="606"/>
  <c r="F193" i="606"/>
  <c r="F184" i="606"/>
  <c r="F185" i="606"/>
  <c r="F186" i="606"/>
  <c r="F187" i="606"/>
  <c r="F188" i="606"/>
  <c r="F189" i="606"/>
  <c r="F21" i="606"/>
  <c r="F20" i="606"/>
  <c r="F19" i="606"/>
  <c r="F18" i="606"/>
  <c r="F17" i="606"/>
  <c r="F16" i="606"/>
  <c r="F15" i="606"/>
  <c r="F14" i="606"/>
  <c r="F13" i="606"/>
  <c r="F12" i="606"/>
  <c r="F47" i="606"/>
  <c r="F60" i="606"/>
  <c r="F73" i="606"/>
  <c r="F86" i="606"/>
  <c r="F99" i="606"/>
  <c r="F112" i="606"/>
  <c r="F125" i="606"/>
  <c r="F138" i="606"/>
  <c r="F151" i="606"/>
  <c r="F164" i="606"/>
  <c r="N97" i="558"/>
  <c r="H86" i="557"/>
  <c r="I86" i="557"/>
  <c r="H81" i="557"/>
  <c r="I81" i="557"/>
  <c r="H76" i="557"/>
  <c r="H71" i="557"/>
  <c r="H66" i="557"/>
  <c r="I66" i="557"/>
  <c r="H61" i="557"/>
  <c r="H56" i="557"/>
  <c r="I56" i="557"/>
  <c r="H51" i="557"/>
  <c r="H46" i="557"/>
  <c r="I46" i="557"/>
  <c r="H41" i="557"/>
  <c r="I71" i="557"/>
  <c r="I61" i="557"/>
  <c r="I51" i="557"/>
  <c r="I41" i="557"/>
  <c r="H86" i="558"/>
  <c r="I86" i="558"/>
  <c r="H81" i="558"/>
  <c r="I81" i="558"/>
  <c r="H76" i="558"/>
  <c r="I76" i="558"/>
  <c r="H71" i="558"/>
  <c r="I71" i="558"/>
  <c r="H66" i="558"/>
  <c r="I66" i="558"/>
  <c r="H61" i="558"/>
  <c r="I61" i="558"/>
  <c r="H56" i="558"/>
  <c r="I56" i="558"/>
  <c r="H51" i="558"/>
  <c r="I51" i="558"/>
  <c r="H46" i="558"/>
  <c r="I46" i="558"/>
  <c r="H41" i="558"/>
  <c r="I41" i="558"/>
  <c r="I91" i="558"/>
  <c r="G91" i="558"/>
  <c r="N90" i="558"/>
  <c r="F185" i="557"/>
  <c r="F186" i="557"/>
  <c r="Z1" i="547"/>
  <c r="AE7" i="547"/>
  <c r="K7" i="547"/>
  <c r="H156" i="557"/>
  <c r="H151" i="557"/>
  <c r="I151" i="557"/>
  <c r="I156" i="557"/>
  <c r="H146" i="557"/>
  <c r="I146" i="557"/>
  <c r="H141" i="557"/>
  <c r="I141" i="557"/>
  <c r="H136" i="557"/>
  <c r="I136" i="557"/>
  <c r="H131" i="557"/>
  <c r="I131" i="557"/>
  <c r="H126" i="557"/>
  <c r="I126" i="557"/>
  <c r="H121" i="557"/>
  <c r="I121" i="557"/>
  <c r="H116" i="557"/>
  <c r="I116" i="557"/>
  <c r="H111" i="557"/>
  <c r="I111" i="557"/>
  <c r="I161" i="557"/>
  <c r="G161" i="557"/>
  <c r="O160" i="557"/>
  <c r="G91" i="557"/>
  <c r="O90" i="557"/>
  <c r="E8" i="510"/>
  <c r="D9" i="509"/>
  <c r="V7" i="560"/>
  <c r="V8" i="560"/>
  <c r="V9" i="560"/>
  <c r="V10" i="560"/>
  <c r="V11" i="560"/>
  <c r="V12" i="560"/>
  <c r="V13" i="560"/>
  <c r="V14" i="560"/>
  <c r="V15" i="560"/>
  <c r="V6" i="560"/>
  <c r="S7" i="560"/>
  <c r="S8" i="560"/>
  <c r="S9" i="560"/>
  <c r="S10" i="560"/>
  <c r="S11" i="560"/>
  <c r="S12" i="560"/>
  <c r="S13" i="560"/>
  <c r="S14" i="560"/>
  <c r="S15" i="560"/>
  <c r="S6" i="560"/>
  <c r="F73" i="491"/>
  <c r="E73" i="491"/>
  <c r="F74" i="491"/>
  <c r="D53" i="491"/>
  <c r="E79" i="491"/>
  <c r="K79" i="491"/>
  <c r="F77" i="491"/>
  <c r="F59" i="491"/>
  <c r="E77" i="491"/>
  <c r="E59" i="491"/>
  <c r="F57" i="491"/>
  <c r="E57" i="491"/>
  <c r="F58" i="491"/>
  <c r="F79" i="491"/>
  <c r="C71" i="491"/>
  <c r="D71" i="491"/>
  <c r="D72" i="491"/>
  <c r="E71" i="491"/>
  <c r="E72" i="491"/>
  <c r="D73" i="491"/>
  <c r="F71" i="491"/>
  <c r="F72" i="491"/>
  <c r="C73" i="491"/>
  <c r="D74" i="491"/>
  <c r="D51" i="491"/>
  <c r="E51" i="491"/>
  <c r="E52" i="491"/>
  <c r="F51" i="491"/>
  <c r="F52" i="491"/>
  <c r="E53" i="491"/>
  <c r="E54" i="491"/>
  <c r="F53" i="491"/>
  <c r="C51" i="491"/>
  <c r="D52" i="491"/>
  <c r="C53" i="491"/>
  <c r="R4" i="624"/>
  <c r="F60" i="491"/>
  <c r="C1012" i="497"/>
  <c r="C993" i="497"/>
  <c r="C974" i="497"/>
  <c r="C955" i="497"/>
  <c r="C936" i="497"/>
  <c r="C917" i="497"/>
  <c r="C898" i="497"/>
  <c r="C879" i="497"/>
  <c r="C860" i="497"/>
  <c r="C841" i="497"/>
  <c r="C822" i="497"/>
  <c r="C803" i="497"/>
  <c r="C784" i="497"/>
  <c r="C765" i="497"/>
  <c r="C746" i="497"/>
  <c r="C727" i="497"/>
  <c r="C708" i="497"/>
  <c r="C689" i="497"/>
  <c r="C670" i="497"/>
  <c r="C651" i="497"/>
  <c r="C632" i="497"/>
  <c r="C613" i="497"/>
  <c r="C594" i="497"/>
  <c r="C575" i="497"/>
  <c r="C556" i="497"/>
  <c r="C537" i="497"/>
  <c r="C518" i="497"/>
  <c r="C499" i="497"/>
  <c r="C480" i="497"/>
  <c r="C461" i="497"/>
  <c r="C442" i="497"/>
  <c r="C423" i="497"/>
  <c r="C404" i="497"/>
  <c r="C385" i="497"/>
  <c r="C366" i="497"/>
  <c r="C347" i="497"/>
  <c r="C328" i="497"/>
  <c r="C309" i="497"/>
  <c r="C290" i="497"/>
  <c r="C271" i="497"/>
  <c r="C252" i="497"/>
  <c r="C233" i="497"/>
  <c r="C214" i="497"/>
  <c r="C195" i="497"/>
  <c r="C176" i="497"/>
  <c r="C157" i="497"/>
  <c r="C138" i="497"/>
  <c r="C119" i="497"/>
  <c r="C100" i="497"/>
  <c r="C81" i="497"/>
  <c r="C79" i="491"/>
  <c r="D79" i="491"/>
  <c r="D80" i="491"/>
  <c r="D57" i="491"/>
  <c r="K59" i="491"/>
  <c r="K57" i="491"/>
  <c r="E97" i="491"/>
  <c r="D97" i="491"/>
  <c r="C97" i="491"/>
  <c r="D98" i="491"/>
  <c r="E98" i="491"/>
  <c r="F97" i="491"/>
  <c r="E99" i="491"/>
  <c r="K99" i="491"/>
  <c r="D99" i="491"/>
  <c r="C99" i="491"/>
  <c r="D100" i="491"/>
  <c r="F99" i="491"/>
  <c r="R4" i="626"/>
  <c r="D91" i="491"/>
  <c r="E91" i="491"/>
  <c r="E92" i="491"/>
  <c r="C91" i="491"/>
  <c r="F93" i="491"/>
  <c r="E93" i="491"/>
  <c r="F94" i="491"/>
  <c r="D93" i="491"/>
  <c r="C93" i="491"/>
  <c r="F91" i="491"/>
  <c r="F92" i="491"/>
  <c r="C59" i="491"/>
  <c r="C57" i="491"/>
  <c r="D59" i="491"/>
  <c r="E60" i="491"/>
  <c r="D77" i="491"/>
  <c r="C77" i="491"/>
  <c r="F98" i="491"/>
  <c r="J17" i="544"/>
  <c r="I17" i="544"/>
  <c r="H17" i="544"/>
  <c r="AG7" i="547"/>
  <c r="AF7" i="547"/>
  <c r="M7" i="547"/>
  <c r="L7" i="547"/>
  <c r="Y23" i="547"/>
  <c r="Z23" i="547"/>
  <c r="Z12" i="547"/>
  <c r="Z16" i="547"/>
  <c r="AA23" i="547"/>
  <c r="AB23" i="547"/>
  <c r="X23" i="547"/>
  <c r="Y22" i="547"/>
  <c r="Y8" i="547"/>
  <c r="Z22" i="547"/>
  <c r="AA22" i="547"/>
  <c r="AA8" i="547"/>
  <c r="AB22" i="547"/>
  <c r="X22" i="547"/>
  <c r="C43" i="611"/>
  <c r="C45" i="611"/>
  <c r="B20" i="611"/>
  <c r="K103" i="611"/>
  <c r="E9" i="603"/>
  <c r="F9" i="603"/>
  <c r="G9" i="603"/>
  <c r="H9" i="603"/>
  <c r="I9" i="603"/>
  <c r="D23" i="547"/>
  <c r="D22" i="547"/>
  <c r="B26" i="524"/>
  <c r="B22" i="524"/>
  <c r="B22" i="544"/>
  <c r="B18" i="544"/>
  <c r="E5" i="547"/>
  <c r="F5" i="547"/>
  <c r="G5" i="547"/>
  <c r="E20" i="547"/>
  <c r="E6" i="547"/>
  <c r="F20" i="547"/>
  <c r="M9" i="547"/>
  <c r="G20" i="547"/>
  <c r="E21" i="547"/>
  <c r="E10" i="547"/>
  <c r="F21" i="547"/>
  <c r="F10" i="547"/>
  <c r="G21" i="547"/>
  <c r="G10" i="547"/>
  <c r="H21" i="547"/>
  <c r="H153" i="610"/>
  <c r="F153" i="610"/>
  <c r="F152" i="610"/>
  <c r="J153" i="610"/>
  <c r="H152" i="610"/>
  <c r="H143" i="610"/>
  <c r="F143" i="610"/>
  <c r="F142" i="610"/>
  <c r="J143" i="610"/>
  <c r="H142" i="610"/>
  <c r="H133" i="610"/>
  <c r="F133" i="610"/>
  <c r="F132" i="610"/>
  <c r="J133" i="610"/>
  <c r="H132" i="610"/>
  <c r="H123" i="610"/>
  <c r="F123" i="610"/>
  <c r="F122" i="610"/>
  <c r="J123" i="610"/>
  <c r="H122" i="610"/>
  <c r="H113" i="610"/>
  <c r="H112" i="610"/>
  <c r="J114" i="610"/>
  <c r="F113" i="610"/>
  <c r="F112" i="610"/>
  <c r="J113" i="610"/>
  <c r="H103" i="610"/>
  <c r="H102" i="610"/>
  <c r="J104" i="610"/>
  <c r="F103" i="610"/>
  <c r="F102" i="610"/>
  <c r="J103" i="610"/>
  <c r="H93" i="610"/>
  <c r="H92" i="610"/>
  <c r="J94" i="610"/>
  <c r="F93" i="610"/>
  <c r="F92" i="610"/>
  <c r="J93" i="610"/>
  <c r="H83" i="610"/>
  <c r="H82" i="610"/>
  <c r="J84" i="610"/>
  <c r="F83" i="610"/>
  <c r="F82" i="610"/>
  <c r="J83" i="610"/>
  <c r="H73" i="610"/>
  <c r="F73" i="610"/>
  <c r="F72" i="610"/>
  <c r="J73" i="610"/>
  <c r="H72" i="610"/>
  <c r="J74" i="610"/>
  <c r="H63" i="610"/>
  <c r="H62" i="610"/>
  <c r="J64" i="610"/>
  <c r="F63" i="610"/>
  <c r="F62" i="610"/>
  <c r="J63" i="610"/>
  <c r="B46" i="610"/>
  <c r="H51" i="610"/>
  <c r="H50" i="610"/>
  <c r="J52" i="610"/>
  <c r="F51" i="610"/>
  <c r="F50" i="610"/>
  <c r="H41" i="610"/>
  <c r="H40" i="610"/>
  <c r="J42" i="610"/>
  <c r="F41" i="610"/>
  <c r="F40" i="610"/>
  <c r="H31" i="610"/>
  <c r="H30" i="610"/>
  <c r="J32" i="610"/>
  <c r="F31" i="610"/>
  <c r="F30" i="610"/>
  <c r="J31" i="610"/>
  <c r="B26" i="610"/>
  <c r="B36" i="610"/>
  <c r="H21" i="610"/>
  <c r="H20" i="610"/>
  <c r="J22" i="610"/>
  <c r="F21" i="610"/>
  <c r="F20" i="610"/>
  <c r="H11" i="610"/>
  <c r="H10" i="610"/>
  <c r="J12" i="610"/>
  <c r="F11" i="610"/>
  <c r="F10" i="610"/>
  <c r="H19" i="524"/>
  <c r="H20" i="524"/>
  <c r="I19" i="524"/>
  <c r="I20" i="524"/>
  <c r="J19" i="524"/>
  <c r="J20" i="524"/>
  <c r="E23" i="547"/>
  <c r="E22" i="547"/>
  <c r="E8" i="547"/>
  <c r="E12" i="547"/>
  <c r="E14" i="547"/>
  <c r="E16" i="547"/>
  <c r="B81" i="509"/>
  <c r="B75" i="509"/>
  <c r="B69" i="509"/>
  <c r="B63" i="509"/>
  <c r="B57" i="509"/>
  <c r="B51" i="509"/>
  <c r="B45" i="509"/>
  <c r="B39" i="509"/>
  <c r="B33" i="509"/>
  <c r="B27" i="509"/>
  <c r="I271" i="606"/>
  <c r="H271" i="606"/>
  <c r="G271" i="606"/>
  <c r="E271" i="606"/>
  <c r="D271" i="606"/>
  <c r="I262" i="606"/>
  <c r="H262" i="606"/>
  <c r="G262" i="606"/>
  <c r="E262" i="606"/>
  <c r="D262" i="606"/>
  <c r="F262" i="606"/>
  <c r="I253" i="606"/>
  <c r="H253" i="606"/>
  <c r="G253" i="606"/>
  <c r="E253" i="606"/>
  <c r="D253" i="606"/>
  <c r="F253" i="606"/>
  <c r="I244" i="606"/>
  <c r="H244" i="606"/>
  <c r="G244" i="606"/>
  <c r="E244" i="606"/>
  <c r="D244" i="606"/>
  <c r="F244" i="606"/>
  <c r="I235" i="606"/>
  <c r="H235" i="606"/>
  <c r="G235" i="606"/>
  <c r="E235" i="606"/>
  <c r="D235" i="606"/>
  <c r="F235" i="606"/>
  <c r="I226" i="606"/>
  <c r="H226" i="606"/>
  <c r="G226" i="606"/>
  <c r="E226" i="606"/>
  <c r="D226" i="606"/>
  <c r="I217" i="606"/>
  <c r="H217" i="606"/>
  <c r="G217" i="606"/>
  <c r="E217" i="606"/>
  <c r="D217" i="606"/>
  <c r="F217" i="606"/>
  <c r="I208" i="606"/>
  <c r="H208" i="606"/>
  <c r="G208" i="606"/>
  <c r="E208" i="606"/>
  <c r="D208" i="606"/>
  <c r="F208" i="606"/>
  <c r="I199" i="606"/>
  <c r="H199" i="606"/>
  <c r="G199" i="606"/>
  <c r="E199" i="606"/>
  <c r="D199" i="606"/>
  <c r="E190" i="606"/>
  <c r="G190" i="606"/>
  <c r="H190" i="606"/>
  <c r="I190" i="606"/>
  <c r="D190" i="606"/>
  <c r="E177" i="606"/>
  <c r="D177" i="606"/>
  <c r="F177" i="606"/>
  <c r="G177" i="606"/>
  <c r="H177" i="606"/>
  <c r="I177" i="606"/>
  <c r="D84" i="509"/>
  <c r="E84" i="509"/>
  <c r="F84" i="509"/>
  <c r="G84" i="509"/>
  <c r="H84" i="509"/>
  <c r="I84" i="509"/>
  <c r="D78" i="509"/>
  <c r="E78" i="509"/>
  <c r="F78" i="509"/>
  <c r="G78" i="509"/>
  <c r="H78" i="509"/>
  <c r="I78" i="509"/>
  <c r="D72" i="509"/>
  <c r="E72" i="509"/>
  <c r="F72" i="509"/>
  <c r="G72" i="509"/>
  <c r="H72" i="509"/>
  <c r="I72" i="509"/>
  <c r="D66" i="509"/>
  <c r="E66" i="509"/>
  <c r="F66" i="509"/>
  <c r="G66" i="509"/>
  <c r="H66" i="509"/>
  <c r="I66" i="509"/>
  <c r="D60" i="509"/>
  <c r="E60" i="509"/>
  <c r="F60" i="509"/>
  <c r="G60" i="509"/>
  <c r="H60" i="509"/>
  <c r="I60" i="509"/>
  <c r="D54" i="509"/>
  <c r="E54" i="509"/>
  <c r="F54" i="509"/>
  <c r="G54" i="509"/>
  <c r="H54" i="509"/>
  <c r="I54" i="509"/>
  <c r="D48" i="509"/>
  <c r="E48" i="509"/>
  <c r="F48" i="509"/>
  <c r="G48" i="509"/>
  <c r="H48" i="509"/>
  <c r="I48" i="509"/>
  <c r="D42" i="509"/>
  <c r="E42" i="509"/>
  <c r="F42" i="509"/>
  <c r="G42" i="509"/>
  <c r="H42" i="509"/>
  <c r="I42" i="509"/>
  <c r="D36" i="509"/>
  <c r="E36" i="509"/>
  <c r="F36" i="509"/>
  <c r="G36" i="509"/>
  <c r="H36" i="509"/>
  <c r="I36" i="509"/>
  <c r="F226" i="606"/>
  <c r="I139" i="604"/>
  <c r="I137" i="604"/>
  <c r="I138" i="604"/>
  <c r="H139" i="604"/>
  <c r="G139" i="604"/>
  <c r="E139" i="604"/>
  <c r="D139" i="604"/>
  <c r="D137" i="604"/>
  <c r="D138" i="604"/>
  <c r="E137" i="604"/>
  <c r="G137" i="604"/>
  <c r="G138" i="604"/>
  <c r="H137" i="604"/>
  <c r="H138" i="604"/>
  <c r="E133" i="604"/>
  <c r="G133" i="604"/>
  <c r="H133" i="604"/>
  <c r="I133" i="604"/>
  <c r="D133" i="604"/>
  <c r="C26" i="491"/>
  <c r="C33" i="491"/>
  <c r="D33" i="491"/>
  <c r="D34" i="491"/>
  <c r="O11" i="623"/>
  <c r="C6" i="623"/>
  <c r="O4" i="623"/>
  <c r="B16" i="610"/>
  <c r="B10" i="491"/>
  <c r="B293" i="491"/>
  <c r="B273" i="491"/>
  <c r="B253" i="491"/>
  <c r="B233" i="491"/>
  <c r="B213" i="491"/>
  <c r="B193" i="491"/>
  <c r="B173" i="491"/>
  <c r="B153" i="491"/>
  <c r="B133" i="491"/>
  <c r="B113" i="491"/>
  <c r="B90" i="491"/>
  <c r="B70" i="491"/>
  <c r="B50" i="491"/>
  <c r="B30" i="491"/>
  <c r="F33" i="491"/>
  <c r="E33" i="491"/>
  <c r="F34" i="491"/>
  <c r="E34" i="491"/>
  <c r="E31" i="491"/>
  <c r="C31" i="491"/>
  <c r="F39" i="491"/>
  <c r="F37" i="491"/>
  <c r="D37" i="491"/>
  <c r="H16" i="544"/>
  <c r="I16" i="544"/>
  <c r="J16" i="544"/>
  <c r="D4" i="540"/>
  <c r="D3" i="540"/>
  <c r="I4" i="540"/>
  <c r="I3" i="540"/>
  <c r="BL5" i="546"/>
  <c r="BN5" i="546"/>
  <c r="BM5" i="546"/>
  <c r="P15" i="560"/>
  <c r="P14" i="560"/>
  <c r="P13" i="560"/>
  <c r="P12" i="560"/>
  <c r="P11" i="560"/>
  <c r="P10" i="560"/>
  <c r="I10" i="560"/>
  <c r="P9" i="560"/>
  <c r="I9" i="560"/>
  <c r="P8" i="560"/>
  <c r="I8" i="560"/>
  <c r="P7" i="560"/>
  <c r="Q5" i="560"/>
  <c r="J5" i="560"/>
  <c r="G5" i="560"/>
  <c r="E1000" i="497"/>
  <c r="E981" i="497"/>
  <c r="E962" i="497"/>
  <c r="E943" i="497"/>
  <c r="E924" i="497"/>
  <c r="E905" i="497"/>
  <c r="E886" i="497"/>
  <c r="E867" i="497"/>
  <c r="E848" i="497"/>
  <c r="E829" i="497"/>
  <c r="E810" i="497"/>
  <c r="E791" i="497"/>
  <c r="E772" i="497"/>
  <c r="E753" i="497"/>
  <c r="E734" i="497"/>
  <c r="E715" i="497"/>
  <c r="E696" i="497"/>
  <c r="E677" i="497"/>
  <c r="E658" i="497"/>
  <c r="E639" i="497"/>
  <c r="E620" i="497"/>
  <c r="E601" i="497"/>
  <c r="E582" i="497"/>
  <c r="E563" i="497"/>
  <c r="E544" i="497"/>
  <c r="E525" i="497"/>
  <c r="E506" i="497"/>
  <c r="E487" i="497"/>
  <c r="E468" i="497"/>
  <c r="E449" i="497"/>
  <c r="E430" i="497"/>
  <c r="E411" i="497"/>
  <c r="E392" i="497"/>
  <c r="E373" i="497"/>
  <c r="E354" i="497"/>
  <c r="E335" i="497"/>
  <c r="E316" i="497"/>
  <c r="E297" i="497"/>
  <c r="E278" i="497"/>
  <c r="E259" i="497"/>
  <c r="E240" i="497"/>
  <c r="E221" i="497"/>
  <c r="E202" i="497"/>
  <c r="E183" i="497"/>
  <c r="E164" i="497"/>
  <c r="E145" i="497"/>
  <c r="E126" i="497"/>
  <c r="E107" i="497"/>
  <c r="E88" i="497"/>
  <c r="AA12" i="547"/>
  <c r="Y12" i="547"/>
  <c r="X12" i="547"/>
  <c r="AB8" i="547"/>
  <c r="Z8" i="547"/>
  <c r="AB21" i="547"/>
  <c r="AA21" i="547"/>
  <c r="AA5" i="547"/>
  <c r="AA10" i="547"/>
  <c r="Z21" i="547"/>
  <c r="Z20" i="547"/>
  <c r="H19" i="544"/>
  <c r="Y21" i="547"/>
  <c r="X21" i="547"/>
  <c r="AB20" i="547"/>
  <c r="AB24" i="547"/>
  <c r="AA20" i="547"/>
  <c r="Y20" i="547"/>
  <c r="Y5" i="547"/>
  <c r="Y10" i="547"/>
  <c r="Y6" i="547"/>
  <c r="X20" i="547"/>
  <c r="AB12" i="547"/>
  <c r="AF11" i="547"/>
  <c r="AG10" i="547"/>
  <c r="AF10" i="547"/>
  <c r="AC7" i="547"/>
  <c r="AD5" i="547"/>
  <c r="AA13" i="547"/>
  <c r="X13" i="547"/>
  <c r="AC5" i="547"/>
  <c r="AA9" i="547"/>
  <c r="AB5" i="547"/>
  <c r="AB10" i="547"/>
  <c r="Z5" i="547"/>
  <c r="X5" i="547"/>
  <c r="X6" i="547"/>
  <c r="D21" i="547"/>
  <c r="D10" i="547"/>
  <c r="D20" i="547"/>
  <c r="D6" i="547"/>
  <c r="L11" i="547"/>
  <c r="M10" i="547"/>
  <c r="L10" i="547"/>
  <c r="I7" i="547"/>
  <c r="J5" i="547"/>
  <c r="H13" i="547"/>
  <c r="H17" i="547"/>
  <c r="I5" i="547"/>
  <c r="D9" i="547"/>
  <c r="D15" i="547"/>
  <c r="D5" i="547"/>
  <c r="E9" i="547"/>
  <c r="E15" i="547"/>
  <c r="X8" i="547"/>
  <c r="D12" i="547"/>
  <c r="D16" i="547"/>
  <c r="D8" i="547"/>
  <c r="D14" i="547"/>
  <c r="Y13" i="547"/>
  <c r="X9" i="547"/>
  <c r="AB9" i="547"/>
  <c r="Y9" i="547"/>
  <c r="Z13" i="547"/>
  <c r="Z17" i="547"/>
  <c r="AK6" i="547"/>
  <c r="Z9" i="547"/>
  <c r="Z15" i="547"/>
  <c r="AK8" i="547"/>
  <c r="AL13" i="547"/>
  <c r="D13" i="547"/>
  <c r="D17" i="547"/>
  <c r="F9" i="509"/>
  <c r="G9" i="509"/>
  <c r="H9" i="509"/>
  <c r="I9" i="509"/>
  <c r="F9" i="530"/>
  <c r="G9" i="530"/>
  <c r="G13" i="530"/>
  <c r="H9" i="530"/>
  <c r="I9" i="530"/>
  <c r="I13" i="530"/>
  <c r="L772" i="497"/>
  <c r="L1000" i="497"/>
  <c r="L981" i="497"/>
  <c r="L962" i="497"/>
  <c r="L943" i="497"/>
  <c r="L924" i="497"/>
  <c r="L905" i="497"/>
  <c r="L886" i="497"/>
  <c r="L867" i="497"/>
  <c r="L848" i="497"/>
  <c r="L829" i="497"/>
  <c r="L810" i="497"/>
  <c r="L791" i="497"/>
  <c r="L753" i="497"/>
  <c r="L734" i="497"/>
  <c r="L715" i="497"/>
  <c r="L696" i="497"/>
  <c r="L677" i="497"/>
  <c r="L658" i="497"/>
  <c r="L639" i="497"/>
  <c r="L620" i="497"/>
  <c r="L601" i="497"/>
  <c r="L582" i="497"/>
  <c r="L563" i="497"/>
  <c r="L544" i="497"/>
  <c r="L525" i="497"/>
  <c r="L506" i="497"/>
  <c r="L487" i="497"/>
  <c r="L468" i="497"/>
  <c r="L449" i="497"/>
  <c r="L430" i="497"/>
  <c r="L411" i="497"/>
  <c r="L392" i="497"/>
  <c r="L373" i="497"/>
  <c r="L354" i="497"/>
  <c r="L335" i="497"/>
  <c r="L316" i="497"/>
  <c r="L297" i="497"/>
  <c r="L278" i="497"/>
  <c r="L259" i="497"/>
  <c r="L240" i="497"/>
  <c r="L221" i="497"/>
  <c r="L202" i="497"/>
  <c r="L183" i="497"/>
  <c r="L164" i="497"/>
  <c r="L145" i="497"/>
  <c r="L126" i="497"/>
  <c r="L107" i="497"/>
  <c r="L88" i="497"/>
  <c r="AA5" i="546"/>
  <c r="AF2" i="546"/>
  <c r="AA2" i="546"/>
  <c r="C9" i="493"/>
  <c r="C16" i="493"/>
  <c r="I7" i="560"/>
  <c r="C12" i="493"/>
  <c r="C27" i="493"/>
  <c r="C23" i="493"/>
  <c r="C26" i="493"/>
  <c r="C22" i="493"/>
  <c r="C18" i="493"/>
  <c r="C14" i="493"/>
  <c r="C10" i="493"/>
  <c r="C25" i="493"/>
  <c r="C21" i="493"/>
  <c r="C17" i="493"/>
  <c r="C13" i="493"/>
  <c r="C19" i="493"/>
  <c r="C15" i="493"/>
  <c r="C11" i="493"/>
  <c r="C24" i="493"/>
  <c r="C20" i="493"/>
  <c r="B113" i="493"/>
  <c r="C8" i="493"/>
  <c r="E11" i="493"/>
  <c r="H26" i="493"/>
  <c r="F12" i="493"/>
  <c r="F8" i="493"/>
  <c r="E15" i="493"/>
  <c r="G14" i="493"/>
  <c r="F23" i="493"/>
  <c r="F24" i="493"/>
  <c r="G19" i="493"/>
  <c r="G18" i="493"/>
  <c r="G27" i="493"/>
  <c r="G12" i="493"/>
  <c r="E18" i="493"/>
  <c r="E12" i="493"/>
  <c r="H12" i="493"/>
  <c r="H27" i="493"/>
  <c r="E27" i="493"/>
  <c r="F27" i="493"/>
  <c r="E26" i="493"/>
  <c r="G23" i="493"/>
  <c r="E23" i="493"/>
  <c r="H23" i="493"/>
  <c r="G24" i="493"/>
  <c r="F19" i="493"/>
  <c r="H24" i="493"/>
  <c r="E24" i="493"/>
  <c r="F11" i="493"/>
  <c r="F14" i="493"/>
  <c r="G16" i="493"/>
  <c r="G15" i="493"/>
  <c r="G20" i="493"/>
  <c r="E20" i="493"/>
  <c r="E16" i="493"/>
  <c r="G26" i="493"/>
  <c r="G11" i="493"/>
  <c r="F26" i="493"/>
  <c r="E8" i="493"/>
  <c r="E22" i="493"/>
  <c r="G22" i="493"/>
  <c r="F16" i="493"/>
  <c r="H16" i="493"/>
  <c r="H11" i="493"/>
  <c r="H13" i="493"/>
  <c r="G13" i="493"/>
  <c r="F13" i="493"/>
  <c r="E13" i="493"/>
  <c r="G10" i="493"/>
  <c r="H10" i="493"/>
  <c r="F10" i="493"/>
  <c r="E10" i="493"/>
  <c r="H9" i="493"/>
  <c r="F9" i="493"/>
  <c r="E9" i="493"/>
  <c r="G9" i="493"/>
  <c r="G8" i="493"/>
  <c r="F22" i="493"/>
  <c r="F20" i="493"/>
  <c r="H20" i="493"/>
  <c r="F15" i="493"/>
  <c r="H15" i="493"/>
  <c r="H17" i="493"/>
  <c r="F17" i="493"/>
  <c r="E17" i="493"/>
  <c r="G17" i="493"/>
  <c r="E14" i="493"/>
  <c r="H14" i="493"/>
  <c r="G25" i="493"/>
  <c r="F25" i="493"/>
  <c r="E25" i="493"/>
  <c r="H25" i="493"/>
  <c r="H8" i="493"/>
  <c r="H22" i="493"/>
  <c r="E19" i="493"/>
  <c r="H19" i="493"/>
  <c r="H21" i="493"/>
  <c r="G21" i="493"/>
  <c r="F21" i="493"/>
  <c r="E21" i="493"/>
  <c r="H18" i="493"/>
  <c r="F18" i="493"/>
  <c r="B6" i="610"/>
  <c r="I6" i="560"/>
  <c r="B31" i="606"/>
  <c r="C17" i="491"/>
  <c r="D17" i="491"/>
  <c r="D18" i="491"/>
  <c r="C19" i="491"/>
  <c r="D19" i="491"/>
  <c r="D20" i="491"/>
  <c r="E19" i="491"/>
  <c r="F19" i="491"/>
  <c r="F20" i="491"/>
  <c r="E17" i="491"/>
  <c r="E18" i="491"/>
  <c r="F17" i="491"/>
  <c r="G18" i="491"/>
  <c r="E13" i="491"/>
  <c r="K13" i="491"/>
  <c r="E11" i="491"/>
  <c r="K11" i="491"/>
  <c r="D13" i="491"/>
  <c r="C13" i="491"/>
  <c r="D11" i="491"/>
  <c r="C11" i="491"/>
  <c r="D12" i="491"/>
  <c r="B4" i="604"/>
  <c r="B4" i="603"/>
  <c r="B2" i="497"/>
  <c r="B5" i="578"/>
  <c r="P6" i="560"/>
  <c r="I14" i="491"/>
  <c r="H14" i="491"/>
  <c r="C95" i="545"/>
  <c r="E12" i="491"/>
  <c r="J14" i="491"/>
  <c r="I12" i="491"/>
  <c r="J12" i="491"/>
  <c r="M10" i="544"/>
  <c r="M9" i="544"/>
  <c r="B16" i="524"/>
  <c r="M11" i="524"/>
  <c r="M10" i="524"/>
  <c r="A1" i="540"/>
  <c r="F13" i="530"/>
  <c r="H13" i="530"/>
  <c r="A1" i="501"/>
  <c r="BL6" i="546"/>
  <c r="BL7" i="546"/>
  <c r="BM7" i="546"/>
  <c r="BM6" i="546"/>
  <c r="C149" i="491"/>
  <c r="F162" i="491"/>
  <c r="P4" i="628"/>
  <c r="E160" i="491"/>
  <c r="C209" i="491"/>
  <c r="C169" i="491"/>
  <c r="E180" i="491"/>
  <c r="C229" i="491"/>
  <c r="C289" i="491"/>
  <c r="C269" i="491"/>
  <c r="E280" i="491"/>
  <c r="K280" i="491"/>
  <c r="C249" i="491"/>
  <c r="C189" i="491"/>
  <c r="C129" i="491"/>
  <c r="E140" i="491"/>
  <c r="E142" i="491"/>
  <c r="C6" i="635"/>
  <c r="M4" i="635"/>
  <c r="C6" i="634"/>
  <c r="M4" i="634"/>
  <c r="C6" i="633"/>
  <c r="M4" i="633"/>
  <c r="C6" i="632"/>
  <c r="M4" i="632"/>
  <c r="C6" i="631"/>
  <c r="M4" i="631"/>
  <c r="C6" i="630"/>
  <c r="M4" i="630"/>
  <c r="C6" i="629"/>
  <c r="M4" i="629"/>
  <c r="C6" i="628"/>
  <c r="M4" i="628"/>
  <c r="C6" i="627"/>
  <c r="M4" i="627"/>
  <c r="B78" i="610"/>
  <c r="B88" i="610"/>
  <c r="B98" i="610"/>
  <c r="B108" i="610"/>
  <c r="B118" i="610"/>
  <c r="B138" i="610"/>
  <c r="B148" i="610"/>
  <c r="B68" i="610"/>
  <c r="B58" i="610"/>
  <c r="B128" i="610"/>
  <c r="F13" i="560"/>
  <c r="C6" i="558"/>
  <c r="M4" i="558"/>
  <c r="F7" i="560"/>
  <c r="F8" i="560"/>
  <c r="F10" i="560"/>
  <c r="F14" i="560"/>
  <c r="F9" i="560"/>
  <c r="F11" i="560"/>
  <c r="C109" i="491"/>
  <c r="F120" i="491"/>
  <c r="E120" i="491"/>
  <c r="F121" i="491"/>
  <c r="F6" i="560"/>
  <c r="F12" i="560"/>
  <c r="F15" i="560"/>
  <c r="F140" i="491"/>
  <c r="E162" i="491"/>
  <c r="D162" i="491"/>
  <c r="E163" i="491"/>
  <c r="F160" i="491"/>
  <c r="E182" i="491"/>
  <c r="K182" i="491"/>
  <c r="E200" i="491"/>
  <c r="K200" i="491"/>
  <c r="E202" i="491"/>
  <c r="K202" i="491"/>
  <c r="F262" i="491"/>
  <c r="F260" i="491"/>
  <c r="F280" i="491"/>
  <c r="F302" i="491"/>
  <c r="P4" i="635"/>
  <c r="C120" i="491"/>
  <c r="D122" i="491"/>
  <c r="C122" i="491"/>
  <c r="D123" i="491"/>
  <c r="D120" i="491"/>
  <c r="D121" i="491"/>
  <c r="F274" i="491"/>
  <c r="F276" i="491"/>
  <c r="E254" i="491"/>
  <c r="D254" i="491"/>
  <c r="E255" i="491"/>
  <c r="F214" i="491"/>
  <c r="E194" i="491"/>
  <c r="F194" i="491"/>
  <c r="F195" i="491"/>
  <c r="E176" i="491"/>
  <c r="F176" i="491"/>
  <c r="E154" i="491"/>
  <c r="D154" i="491"/>
  <c r="F154" i="491"/>
  <c r="E156" i="491"/>
  <c r="F156" i="491"/>
  <c r="D142" i="491"/>
  <c r="F136" i="491"/>
  <c r="E136" i="491"/>
  <c r="E134" i="491"/>
  <c r="F134" i="491"/>
  <c r="F135" i="491"/>
  <c r="D136" i="491"/>
  <c r="F116" i="491"/>
  <c r="F114" i="491"/>
  <c r="E114" i="491"/>
  <c r="D114" i="491"/>
  <c r="E115" i="491"/>
  <c r="D140" i="491"/>
  <c r="C140" i="491"/>
  <c r="D141" i="491"/>
  <c r="C136" i="491"/>
  <c r="C134" i="491"/>
  <c r="C142" i="491"/>
  <c r="D143" i="491"/>
  <c r="D134" i="491"/>
  <c r="D135" i="491"/>
  <c r="D302" i="491"/>
  <c r="C300" i="491"/>
  <c r="C276" i="491"/>
  <c r="C280" i="491"/>
  <c r="C282" i="491"/>
  <c r="D282" i="491"/>
  <c r="D276" i="491"/>
  <c r="D277" i="491"/>
  <c r="D260" i="491"/>
  <c r="D262" i="491"/>
  <c r="C254" i="491"/>
  <c r="D255" i="491"/>
  <c r="C196" i="491"/>
  <c r="C200" i="491"/>
  <c r="C202" i="491"/>
  <c r="D196" i="491"/>
  <c r="D197" i="491"/>
  <c r="D180" i="491"/>
  <c r="C174" i="491"/>
  <c r="C182" i="491"/>
  <c r="D174" i="491"/>
  <c r="D160" i="491"/>
  <c r="C156" i="491"/>
  <c r="D156" i="491"/>
  <c r="C154" i="491"/>
  <c r="C160" i="491"/>
  <c r="C162" i="491"/>
  <c r="C114" i="491"/>
  <c r="D115" i="491"/>
  <c r="P4" i="633"/>
  <c r="H91" i="558"/>
  <c r="N91" i="558"/>
  <c r="F161" i="491"/>
  <c r="K140" i="491"/>
  <c r="E181" i="491"/>
  <c r="K180" i="491"/>
  <c r="F177" i="491"/>
  <c r="F200" i="491"/>
  <c r="F201" i="491"/>
  <c r="F202" i="491"/>
  <c r="P4" i="630"/>
  <c r="E196" i="491"/>
  <c r="F196" i="491"/>
  <c r="D200" i="491"/>
  <c r="D201" i="491"/>
  <c r="D202" i="491"/>
  <c r="C194" i="491"/>
  <c r="D194" i="491"/>
  <c r="E282" i="491"/>
  <c r="F282" i="491"/>
  <c r="E274" i="491"/>
  <c r="E276" i="491"/>
  <c r="D280" i="491"/>
  <c r="C274" i="491"/>
  <c r="D274" i="491"/>
  <c r="D242" i="491"/>
  <c r="D234" i="491"/>
  <c r="H21" i="544"/>
  <c r="J21" i="544"/>
  <c r="O167" i="623"/>
  <c r="D167" i="623"/>
  <c r="F139" i="604"/>
  <c r="E138" i="604"/>
  <c r="J11" i="610"/>
  <c r="J21" i="610"/>
  <c r="J41" i="610"/>
  <c r="J51" i="610"/>
  <c r="J124" i="610"/>
  <c r="J134" i="610"/>
  <c r="J144" i="610"/>
  <c r="J154" i="610"/>
  <c r="E58" i="491"/>
  <c r="D58" i="491"/>
  <c r="H161" i="557"/>
  <c r="O161" i="557"/>
  <c r="H91" i="624"/>
  <c r="O91" i="624"/>
  <c r="I156" i="624"/>
  <c r="I161" i="624"/>
  <c r="H161" i="624"/>
  <c r="O161" i="624"/>
  <c r="I81" i="625"/>
  <c r="H91" i="625"/>
  <c r="O91" i="625"/>
  <c r="I141" i="625"/>
  <c r="H161" i="625"/>
  <c r="O161" i="625"/>
  <c r="O97" i="625"/>
  <c r="D97" i="625"/>
  <c r="P4" i="625"/>
  <c r="F97" i="625"/>
  <c r="O167" i="625"/>
  <c r="D167" i="625"/>
  <c r="F167" i="625"/>
  <c r="O97" i="626"/>
  <c r="D97" i="626"/>
  <c r="P4" i="626"/>
  <c r="F97" i="626"/>
  <c r="F167" i="626"/>
  <c r="G14" i="491"/>
  <c r="F14" i="491"/>
  <c r="G20" i="491"/>
  <c r="R4" i="557"/>
  <c r="O16" i="557"/>
  <c r="Z24" i="547"/>
  <c r="H20" i="544"/>
  <c r="Z6" i="547"/>
  <c r="AE9" i="547"/>
  <c r="AC9" i="547"/>
  <c r="J20" i="544"/>
  <c r="I21" i="544"/>
  <c r="Z14" i="547"/>
  <c r="R4" i="623"/>
  <c r="F190" i="606"/>
  <c r="I274" i="606"/>
  <c r="H274" i="606"/>
  <c r="K97" i="491"/>
  <c r="F100" i="491"/>
  <c r="D78" i="491"/>
  <c r="E74" i="491"/>
  <c r="R4" i="625"/>
  <c r="F80" i="491"/>
  <c r="K77" i="491"/>
  <c r="E78" i="491"/>
  <c r="F78" i="491"/>
  <c r="D54" i="491"/>
  <c r="W5" i="560"/>
  <c r="T5" i="560"/>
  <c r="A8" i="491"/>
  <c r="A211" i="491"/>
  <c r="A231" i="491"/>
  <c r="A191" i="491"/>
  <c r="A171" i="491"/>
  <c r="A111" i="491"/>
  <c r="A131" i="491"/>
  <c r="A251" i="491"/>
  <c r="A291" i="491"/>
  <c r="A271" i="491"/>
  <c r="A151" i="491"/>
  <c r="AC11" i="547"/>
  <c r="AC12" i="547"/>
  <c r="E275" i="491"/>
  <c r="F275" i="491"/>
  <c r="E201" i="491"/>
  <c r="A68" i="491"/>
  <c r="A28" i="491"/>
  <c r="A88" i="491"/>
  <c r="AH9" i="547"/>
  <c r="AJ8" i="547"/>
  <c r="AI15" i="547"/>
  <c r="BN7" i="546"/>
  <c r="D275" i="491"/>
  <c r="F277" i="491"/>
  <c r="E277" i="491"/>
  <c r="P4" i="634"/>
  <c r="E195" i="491"/>
  <c r="D195" i="491"/>
  <c r="D203" i="491"/>
  <c r="E203" i="491"/>
  <c r="F197" i="491"/>
  <c r="F203" i="491"/>
  <c r="H6" i="547"/>
  <c r="L9" i="547"/>
  <c r="H5" i="547"/>
  <c r="H23" i="524"/>
  <c r="H22" i="547"/>
  <c r="F6" i="547"/>
  <c r="D175" i="491"/>
  <c r="E37" i="491"/>
  <c r="F38" i="491"/>
  <c r="O97" i="623"/>
  <c r="D97" i="623"/>
  <c r="P4" i="623"/>
  <c r="F167" i="623"/>
  <c r="D163" i="491"/>
  <c r="G6" i="547"/>
  <c r="I23" i="524"/>
  <c r="O167" i="557"/>
  <c r="D167" i="557"/>
  <c r="P4" i="557"/>
  <c r="F163" i="491"/>
  <c r="K162" i="491"/>
  <c r="H10" i="547"/>
  <c r="J23" i="524"/>
  <c r="I91" i="625"/>
  <c r="I161" i="625"/>
  <c r="E197" i="491"/>
  <c r="F155" i="491"/>
  <c r="C180" i="491"/>
  <c r="D181" i="491"/>
  <c r="E141" i="491"/>
  <c r="E296" i="491"/>
  <c r="C302" i="491"/>
  <c r="D303" i="491"/>
  <c r="F296" i="491"/>
  <c r="D300" i="491"/>
  <c r="D301" i="491"/>
  <c r="D294" i="491"/>
  <c r="C294" i="491"/>
  <c r="D295" i="491"/>
  <c r="E300" i="491"/>
  <c r="E294" i="491"/>
  <c r="C296" i="491"/>
  <c r="E302" i="491"/>
  <c r="F294" i="491"/>
  <c r="F295" i="491"/>
  <c r="D296" i="491"/>
  <c r="F300" i="491"/>
  <c r="F301" i="491"/>
  <c r="D94" i="491"/>
  <c r="E121" i="491"/>
  <c r="K120" i="491"/>
  <c r="C234" i="491"/>
  <c r="D235" i="491"/>
  <c r="E240" i="491"/>
  <c r="C242" i="491"/>
  <c r="D243" i="491"/>
  <c r="E242" i="491"/>
  <c r="C236" i="491"/>
  <c r="F242" i="491"/>
  <c r="D236" i="491"/>
  <c r="D237" i="491"/>
  <c r="F234" i="491"/>
  <c r="E236" i="491"/>
  <c r="D240" i="491"/>
  <c r="F236" i="491"/>
  <c r="N5" i="560"/>
  <c r="L6" i="560"/>
  <c r="M6" i="560"/>
  <c r="L5" i="560"/>
  <c r="P5" i="560"/>
  <c r="AA24" i="547"/>
  <c r="M7" i="544"/>
  <c r="D182" i="491"/>
  <c r="E183" i="491"/>
  <c r="F180" i="491"/>
  <c r="F181" i="491"/>
  <c r="C176" i="491"/>
  <c r="D176" i="491"/>
  <c r="D177" i="491"/>
  <c r="E174" i="491"/>
  <c r="E175" i="491"/>
  <c r="F182" i="491"/>
  <c r="F174" i="491"/>
  <c r="F175" i="491"/>
  <c r="F18" i="491"/>
  <c r="K17" i="491"/>
  <c r="E274" i="606"/>
  <c r="F271" i="606"/>
  <c r="O97" i="557"/>
  <c r="D97" i="557"/>
  <c r="D14" i="491"/>
  <c r="E14" i="491"/>
  <c r="AG9" i="547"/>
  <c r="Z10" i="547"/>
  <c r="I20" i="544"/>
  <c r="AA6" i="547"/>
  <c r="I19" i="544"/>
  <c r="E135" i="491"/>
  <c r="F281" i="491"/>
  <c r="E161" i="491"/>
  <c r="K160" i="491"/>
  <c r="AB6" i="547"/>
  <c r="J19" i="544"/>
  <c r="E13" i="547"/>
  <c r="E17" i="547"/>
  <c r="G13" i="547"/>
  <c r="G17" i="547"/>
  <c r="F199" i="606"/>
  <c r="D60" i="491"/>
  <c r="X10" i="547"/>
  <c r="G274" i="606"/>
  <c r="C214" i="491"/>
  <c r="F222" i="491"/>
  <c r="AL12" i="547"/>
  <c r="C116" i="491"/>
  <c r="D116" i="491"/>
  <c r="F122" i="491"/>
  <c r="E122" i="491"/>
  <c r="F123" i="491"/>
  <c r="F142" i="491"/>
  <c r="D274" i="606"/>
  <c r="I91" i="628"/>
  <c r="I91" i="630"/>
  <c r="D222" i="491"/>
  <c r="D216" i="491"/>
  <c r="E116" i="491"/>
  <c r="E117" i="491"/>
  <c r="BN6" i="546"/>
  <c r="C37" i="491"/>
  <c r="D38" i="491"/>
  <c r="I91" i="629"/>
  <c r="I91" i="627"/>
  <c r="I91" i="632"/>
  <c r="D220" i="491"/>
  <c r="F141" i="491"/>
  <c r="H9" i="547"/>
  <c r="H15" i="547"/>
  <c r="F9" i="547"/>
  <c r="G9" i="547"/>
  <c r="G15" i="547"/>
  <c r="G22" i="547"/>
  <c r="I24" i="524"/>
  <c r="G23" i="547"/>
  <c r="I91" i="626"/>
  <c r="C39" i="491"/>
  <c r="H23" i="547"/>
  <c r="H12" i="547"/>
  <c r="E80" i="491"/>
  <c r="H91" i="633"/>
  <c r="N91" i="633"/>
  <c r="H91" i="627"/>
  <c r="N91" i="627"/>
  <c r="E35" i="500"/>
  <c r="E69" i="500"/>
  <c r="E44" i="500"/>
  <c r="E98" i="500"/>
  <c r="E59" i="500"/>
  <c r="E34" i="500"/>
  <c r="D31" i="491"/>
  <c r="D32" i="491"/>
  <c r="F54" i="491"/>
  <c r="I76" i="557"/>
  <c r="I91" i="557"/>
  <c r="I151" i="623"/>
  <c r="H91" i="626"/>
  <c r="O91" i="626"/>
  <c r="H91" i="632"/>
  <c r="N91" i="632"/>
  <c r="I86" i="634"/>
  <c r="I91" i="634"/>
  <c r="E88" i="500"/>
  <c r="E63" i="500"/>
  <c r="E24" i="500"/>
  <c r="E78" i="500"/>
  <c r="E53" i="500"/>
  <c r="E87" i="500"/>
  <c r="P4" i="624"/>
  <c r="E62" i="500"/>
  <c r="E23" i="500"/>
  <c r="E77" i="500"/>
  <c r="E52" i="500"/>
  <c r="E27" i="500"/>
  <c r="F11" i="491"/>
  <c r="E39" i="491"/>
  <c r="F31" i="491"/>
  <c r="F32" i="491"/>
  <c r="H91" i="630"/>
  <c r="N91" i="630"/>
  <c r="H91" i="629"/>
  <c r="N91" i="629"/>
  <c r="I86" i="631"/>
  <c r="I91" i="631"/>
  <c r="E42" i="500"/>
  <c r="E96" i="500"/>
  <c r="E71" i="500"/>
  <c r="E32" i="500"/>
  <c r="E86" i="500"/>
  <c r="E81" i="500"/>
  <c r="E36" i="500"/>
  <c r="E90" i="500"/>
  <c r="E51" i="500"/>
  <c r="E26" i="500"/>
  <c r="E80" i="500"/>
  <c r="D39" i="491"/>
  <c r="D40" i="491"/>
  <c r="E61" i="500"/>
  <c r="E95" i="500"/>
  <c r="E70" i="500"/>
  <c r="E45" i="500"/>
  <c r="E99" i="500"/>
  <c r="E60" i="500"/>
  <c r="E41" i="500"/>
  <c r="E89" i="500"/>
  <c r="E50" i="500"/>
  <c r="E25" i="500"/>
  <c r="E79" i="500"/>
  <c r="K9" i="547"/>
  <c r="H24" i="547"/>
  <c r="H8" i="547"/>
  <c r="J24" i="524"/>
  <c r="I25" i="524"/>
  <c r="G12" i="547"/>
  <c r="G16" i="547"/>
  <c r="F237" i="491"/>
  <c r="I167" i="557"/>
  <c r="F167" i="557"/>
  <c r="K39" i="491"/>
  <c r="F40" i="491"/>
  <c r="F15" i="547"/>
  <c r="Q8" i="547"/>
  <c r="P4" i="627"/>
  <c r="F143" i="491"/>
  <c r="F117" i="491"/>
  <c r="P4" i="629"/>
  <c r="F183" i="491"/>
  <c r="E295" i="491"/>
  <c r="E297" i="491"/>
  <c r="J25" i="524"/>
  <c r="E123" i="491"/>
  <c r="K122" i="491"/>
  <c r="P4" i="558"/>
  <c r="F97" i="557"/>
  <c r="I97" i="557"/>
  <c r="D33" i="557"/>
  <c r="H33" i="557"/>
  <c r="O105" i="557"/>
  <c r="E237" i="491"/>
  <c r="E243" i="491"/>
  <c r="K242" i="491"/>
  <c r="K300" i="491"/>
  <c r="E301" i="491"/>
  <c r="E177" i="491"/>
  <c r="G12" i="491"/>
  <c r="F12" i="491"/>
  <c r="D117" i="491"/>
  <c r="AD11" i="547"/>
  <c r="AD12" i="547"/>
  <c r="AF9" i="547"/>
  <c r="AD9" i="547"/>
  <c r="F274" i="606"/>
  <c r="E241" i="491"/>
  <c r="K240" i="491"/>
  <c r="D297" i="491"/>
  <c r="P4" i="632"/>
  <c r="F243" i="491"/>
  <c r="E303" i="491"/>
  <c r="K302" i="491"/>
  <c r="G8" i="547"/>
  <c r="G14" i="547"/>
  <c r="G24" i="547"/>
  <c r="K37" i="491"/>
  <c r="E38" i="491"/>
  <c r="E32" i="491"/>
  <c r="P4" i="631"/>
  <c r="F303" i="491"/>
  <c r="F297" i="491"/>
  <c r="F97" i="623"/>
  <c r="I175" i="557"/>
  <c r="E33" i="557"/>
  <c r="I33" i="557"/>
  <c r="O175" i="557"/>
  <c r="H276" i="491"/>
  <c r="H154" i="491"/>
  <c r="J196" i="491"/>
  <c r="L11" i="560"/>
  <c r="H136" i="491"/>
  <c r="H93" i="491"/>
  <c r="H33" i="491"/>
  <c r="H31" i="491"/>
  <c r="J194" i="491"/>
  <c r="G174" i="491"/>
  <c r="D104" i="560"/>
  <c r="D102" i="560"/>
  <c r="G294" i="491"/>
  <c r="D49" i="560"/>
  <c r="H254" i="491"/>
  <c r="D48" i="560"/>
  <c r="D66" i="560"/>
  <c r="G254" i="491"/>
  <c r="J296" i="491"/>
  <c r="J136" i="491"/>
  <c r="D69" i="560"/>
  <c r="H51" i="491"/>
  <c r="G156" i="491"/>
  <c r="H73" i="491"/>
  <c r="G93" i="491"/>
  <c r="D110" i="560"/>
  <c r="D100" i="560"/>
  <c r="D74" i="560"/>
  <c r="L10" i="560"/>
  <c r="G274" i="491"/>
  <c r="G176" i="491"/>
  <c r="G256" i="491"/>
  <c r="D111" i="560"/>
  <c r="D50" i="560"/>
  <c r="H294" i="491"/>
  <c r="J176" i="491"/>
  <c r="D47" i="560"/>
  <c r="D75" i="560"/>
  <c r="J116" i="491"/>
  <c r="H256" i="491"/>
  <c r="I154" i="491"/>
  <c r="D77" i="560"/>
  <c r="J154" i="491"/>
  <c r="D71" i="560"/>
  <c r="D21" i="560"/>
  <c r="H71" i="491"/>
  <c r="D80" i="560"/>
  <c r="D88" i="560"/>
  <c r="D61" i="560"/>
  <c r="D98" i="560"/>
  <c r="L14" i="560"/>
  <c r="D72" i="560"/>
  <c r="D9" i="560"/>
  <c r="I73" i="491"/>
  <c r="D105" i="560"/>
  <c r="D55" i="560"/>
  <c r="D78" i="560"/>
  <c r="D8" i="560"/>
  <c r="H236" i="491"/>
  <c r="I134" i="491"/>
  <c r="D107" i="560"/>
  <c r="H91" i="491"/>
  <c r="D7" i="560"/>
  <c r="J254" i="491"/>
  <c r="G51" i="491"/>
  <c r="J174" i="491"/>
  <c r="H53" i="491"/>
  <c r="J234" i="491"/>
  <c r="H114" i="491"/>
  <c r="L12" i="560"/>
  <c r="D26" i="560"/>
  <c r="D30" i="560"/>
  <c r="I91" i="491"/>
  <c r="G73" i="491"/>
  <c r="J274" i="491"/>
  <c r="D67" i="560"/>
  <c r="J156" i="491"/>
  <c r="J93" i="491"/>
  <c r="J53" i="491"/>
  <c r="J31" i="491"/>
  <c r="I174" i="491"/>
  <c r="J33" i="491"/>
  <c r="D44" i="560"/>
  <c r="D25" i="560"/>
  <c r="H134" i="491"/>
  <c r="G276" i="491"/>
  <c r="D68" i="560"/>
  <c r="D109" i="560"/>
  <c r="G194" i="491"/>
  <c r="D62" i="560"/>
  <c r="H116" i="491"/>
  <c r="D85" i="560"/>
  <c r="D103" i="560"/>
  <c r="D89" i="560"/>
  <c r="G196" i="491"/>
  <c r="G114" i="491"/>
  <c r="D70" i="560"/>
  <c r="I194" i="491"/>
  <c r="L7" i="560"/>
  <c r="G134" i="491"/>
  <c r="I53" i="491"/>
  <c r="D93" i="560"/>
  <c r="D106" i="560"/>
  <c r="D34" i="560"/>
  <c r="D23" i="560"/>
  <c r="G136" i="491"/>
  <c r="H194" i="491"/>
  <c r="G91" i="491"/>
  <c r="D11" i="560"/>
  <c r="H176" i="491"/>
  <c r="D36" i="560"/>
  <c r="D13" i="560"/>
  <c r="G116" i="491"/>
  <c r="G296" i="491"/>
  <c r="I254" i="491"/>
  <c r="J216" i="491"/>
  <c r="D28" i="560"/>
  <c r="H174" i="491"/>
  <c r="D92" i="560"/>
  <c r="I234" i="491"/>
  <c r="G154" i="491"/>
  <c r="J276" i="491"/>
  <c r="D10" i="560"/>
  <c r="L13" i="560"/>
  <c r="D97" i="560"/>
  <c r="D84" i="560"/>
  <c r="D52" i="560"/>
  <c r="D96" i="560"/>
  <c r="D19" i="560"/>
  <c r="H196" i="491"/>
  <c r="J294" i="491"/>
  <c r="D6" i="560"/>
  <c r="D56" i="560"/>
  <c r="D42" i="560"/>
  <c r="D43" i="560"/>
  <c r="D24" i="560"/>
  <c r="I196" i="491"/>
  <c r="J236" i="491"/>
  <c r="D60" i="560"/>
  <c r="D54" i="560"/>
  <c r="D31" i="560"/>
  <c r="D101" i="560"/>
  <c r="D53" i="560"/>
  <c r="D79" i="560"/>
  <c r="L15" i="560"/>
  <c r="D95" i="560"/>
  <c r="G31" i="491"/>
  <c r="G71" i="491"/>
  <c r="D87" i="560"/>
  <c r="D94" i="560"/>
  <c r="D63" i="560"/>
  <c r="I176" i="491"/>
  <c r="J114" i="491"/>
  <c r="I93" i="491"/>
  <c r="I156" i="491"/>
  <c r="D64" i="560"/>
  <c r="I116" i="491"/>
  <c r="J91" i="491"/>
  <c r="I31" i="491"/>
  <c r="D45" i="560"/>
  <c r="D14" i="560"/>
  <c r="I114" i="491"/>
  <c r="H156" i="491"/>
  <c r="L9" i="560"/>
  <c r="I71" i="491"/>
  <c r="D39" i="560"/>
  <c r="D12" i="560"/>
  <c r="I51" i="491"/>
  <c r="D65" i="560"/>
  <c r="D38" i="560"/>
  <c r="J73" i="491"/>
  <c r="D82" i="560"/>
  <c r="J51" i="491"/>
  <c r="D33" i="560"/>
  <c r="D29" i="560"/>
  <c r="D108" i="560"/>
  <c r="J256" i="491"/>
  <c r="D46" i="560"/>
  <c r="I236" i="491"/>
  <c r="L8" i="560"/>
  <c r="H296" i="491"/>
  <c r="D16" i="560"/>
  <c r="D91" i="560"/>
  <c r="H274" i="491"/>
  <c r="G214" i="491"/>
  <c r="G236" i="491"/>
  <c r="D86" i="560"/>
  <c r="D40" i="560"/>
  <c r="G234" i="491"/>
  <c r="H214" i="491"/>
  <c r="D59" i="560"/>
  <c r="I276" i="491"/>
  <c r="I33" i="491"/>
  <c r="J71" i="491"/>
  <c r="I296" i="491"/>
  <c r="D99" i="560"/>
  <c r="D5" i="560"/>
  <c r="D51" i="560"/>
  <c r="G33" i="491"/>
  <c r="I274" i="491"/>
  <c r="D37" i="560"/>
  <c r="I136" i="491"/>
  <c r="D22" i="560"/>
  <c r="D27" i="560"/>
  <c r="G53" i="491"/>
  <c r="D18" i="560"/>
  <c r="D58" i="560"/>
  <c r="J134" i="491"/>
  <c r="D15" i="560"/>
  <c r="I294" i="491"/>
  <c r="D81" i="560"/>
  <c r="F13" i="547"/>
  <c r="F17" i="547"/>
  <c r="Q6" i="547"/>
  <c r="R13" i="547"/>
  <c r="B19" i="560"/>
  <c r="I177" i="491"/>
  <c r="B9" i="560"/>
  <c r="B51" i="560"/>
  <c r="B96" i="560"/>
  <c r="B81" i="560"/>
  <c r="B72" i="560"/>
  <c r="B43" i="560"/>
  <c r="B52" i="560"/>
  <c r="B63" i="560"/>
  <c r="M14" i="560"/>
  <c r="B5" i="560"/>
  <c r="B84" i="560"/>
  <c r="B30" i="560"/>
  <c r="B98" i="560"/>
  <c r="B42" i="560"/>
  <c r="B97" i="560"/>
  <c r="B94" i="560"/>
  <c r="B61" i="560"/>
  <c r="B99" i="560"/>
  <c r="M13" i="560"/>
  <c r="B26" i="560"/>
  <c r="B88" i="560"/>
  <c r="B56" i="560"/>
  <c r="B10" i="560"/>
  <c r="I295" i="491"/>
  <c r="B80" i="560"/>
  <c r="B6" i="560"/>
  <c r="K276" i="491"/>
  <c r="J277" i="491"/>
  <c r="B87" i="560"/>
  <c r="H72" i="491"/>
  <c r="I297" i="491"/>
  <c r="G155" i="491"/>
  <c r="B15" i="560"/>
  <c r="B21" i="560"/>
  <c r="J295" i="491"/>
  <c r="K294" i="491"/>
  <c r="M12" i="560"/>
  <c r="B71" i="560"/>
  <c r="K71" i="491"/>
  <c r="J72" i="491"/>
  <c r="B92" i="560"/>
  <c r="G72" i="491"/>
  <c r="K154" i="491"/>
  <c r="J155" i="491"/>
  <c r="N16" i="630"/>
  <c r="H197" i="491"/>
  <c r="H175" i="491"/>
  <c r="K134" i="491"/>
  <c r="J135" i="491"/>
  <c r="B77" i="560"/>
  <c r="I34" i="491"/>
  <c r="B28" i="560"/>
  <c r="H115" i="491"/>
  <c r="I155" i="491"/>
  <c r="I277" i="491"/>
  <c r="E216" i="491"/>
  <c r="K216" i="491"/>
  <c r="B58" i="560"/>
  <c r="H257" i="491"/>
  <c r="B59" i="560"/>
  <c r="I255" i="491"/>
  <c r="G32" i="491"/>
  <c r="J117" i="491"/>
  <c r="K116" i="491"/>
  <c r="H215" i="491"/>
  <c r="G297" i="491"/>
  <c r="O4" i="635"/>
  <c r="B18" i="560"/>
  <c r="B75" i="560"/>
  <c r="G235" i="491"/>
  <c r="G117" i="491"/>
  <c r="O4" i="558"/>
  <c r="B95" i="560"/>
  <c r="B47" i="560"/>
  <c r="B40" i="560"/>
  <c r="B13" i="560"/>
  <c r="J235" i="491"/>
  <c r="K176" i="491"/>
  <c r="J177" i="491"/>
  <c r="B86" i="560"/>
  <c r="B36" i="560"/>
  <c r="M15" i="560"/>
  <c r="H295" i="491"/>
  <c r="O4" i="632"/>
  <c r="G237" i="491"/>
  <c r="N16" i="629"/>
  <c r="H177" i="491"/>
  <c r="G54" i="491"/>
  <c r="Q4" i="624"/>
  <c r="B50" i="560"/>
  <c r="G215" i="491"/>
  <c r="B11" i="560"/>
  <c r="O16" i="624"/>
  <c r="H54" i="491"/>
  <c r="B111" i="560"/>
  <c r="H275" i="491"/>
  <c r="G92" i="491"/>
  <c r="B79" i="560"/>
  <c r="F256" i="491"/>
  <c r="G257" i="491"/>
  <c r="B91" i="560"/>
  <c r="H195" i="491"/>
  <c r="B27" i="560"/>
  <c r="G177" i="491"/>
  <c r="O4" i="629"/>
  <c r="B16" i="560"/>
  <c r="G137" i="491"/>
  <c r="O4" i="627"/>
  <c r="B53" i="560"/>
  <c r="G275" i="491"/>
  <c r="H297" i="491"/>
  <c r="N16" i="635"/>
  <c r="B23" i="560"/>
  <c r="B22" i="560"/>
  <c r="M10" i="560"/>
  <c r="M8" i="560"/>
  <c r="B34" i="560"/>
  <c r="B101" i="560"/>
  <c r="B74" i="560"/>
  <c r="I237" i="491"/>
  <c r="B106" i="560"/>
  <c r="K174" i="491"/>
  <c r="J175" i="491"/>
  <c r="B100" i="560"/>
  <c r="B46" i="560"/>
  <c r="B93" i="560"/>
  <c r="B31" i="560"/>
  <c r="B110" i="560"/>
  <c r="I54" i="491"/>
  <c r="B54" i="560"/>
  <c r="G94" i="491"/>
  <c r="Q4" i="626"/>
  <c r="B108" i="560"/>
  <c r="G135" i="491"/>
  <c r="I137" i="491"/>
  <c r="O16" i="625"/>
  <c r="H74" i="491"/>
  <c r="B29" i="560"/>
  <c r="M7" i="560"/>
  <c r="G52" i="491"/>
  <c r="G157" i="491"/>
  <c r="B33" i="560"/>
  <c r="I195" i="491"/>
  <c r="B60" i="560"/>
  <c r="H52" i="491"/>
  <c r="J52" i="491"/>
  <c r="K51" i="491"/>
  <c r="B70" i="560"/>
  <c r="B37" i="560"/>
  <c r="B69" i="560"/>
  <c r="B82" i="560"/>
  <c r="G115" i="491"/>
  <c r="K236" i="491"/>
  <c r="J237" i="491"/>
  <c r="J137" i="491"/>
  <c r="K136" i="491"/>
  <c r="J74" i="491"/>
  <c r="K73" i="491"/>
  <c r="O4" i="630"/>
  <c r="G197" i="491"/>
  <c r="K254" i="491"/>
  <c r="J255" i="491"/>
  <c r="J297" i="491"/>
  <c r="K296" i="491"/>
  <c r="B38" i="560"/>
  <c r="B89" i="560"/>
  <c r="I275" i="491"/>
  <c r="B65" i="560"/>
  <c r="B103" i="560"/>
  <c r="B7" i="560"/>
  <c r="B66" i="560"/>
  <c r="I52" i="491"/>
  <c r="B85" i="560"/>
  <c r="I197" i="491"/>
  <c r="B48" i="560"/>
  <c r="B12" i="560"/>
  <c r="N16" i="558"/>
  <c r="H117" i="491"/>
  <c r="H92" i="491"/>
  <c r="H255" i="491"/>
  <c r="B39" i="560"/>
  <c r="B62" i="560"/>
  <c r="G34" i="491"/>
  <c r="Q4" i="623"/>
  <c r="B49" i="560"/>
  <c r="I72" i="491"/>
  <c r="G195" i="491"/>
  <c r="B24" i="560"/>
  <c r="G295" i="491"/>
  <c r="M9" i="560"/>
  <c r="B109" i="560"/>
  <c r="B107" i="560"/>
  <c r="B102" i="560"/>
  <c r="N16" i="628"/>
  <c r="H157" i="491"/>
  <c r="B68" i="560"/>
  <c r="I135" i="491"/>
  <c r="B104" i="560"/>
  <c r="I115" i="491"/>
  <c r="G277" i="491"/>
  <c r="O4" i="634"/>
  <c r="N16" i="632"/>
  <c r="H237" i="491"/>
  <c r="G175" i="491"/>
  <c r="B14" i="560"/>
  <c r="H135" i="491"/>
  <c r="B8" i="560"/>
  <c r="J195" i="491"/>
  <c r="K194" i="491"/>
  <c r="B45" i="560"/>
  <c r="B25" i="560"/>
  <c r="B78" i="560"/>
  <c r="H32" i="491"/>
  <c r="I32" i="491"/>
  <c r="B44" i="560"/>
  <c r="B55" i="560"/>
  <c r="H34" i="491"/>
  <c r="O16" i="623"/>
  <c r="K91" i="491"/>
  <c r="J92" i="491"/>
  <c r="J34" i="491"/>
  <c r="K33" i="491"/>
  <c r="B105" i="560"/>
  <c r="H94" i="491"/>
  <c r="O16" i="626"/>
  <c r="I117" i="491"/>
  <c r="I175" i="491"/>
  <c r="I74" i="491"/>
  <c r="H137" i="491"/>
  <c r="N16" i="627"/>
  <c r="B64" i="560"/>
  <c r="J32" i="491"/>
  <c r="K31" i="491"/>
  <c r="B67" i="560"/>
  <c r="M11" i="560"/>
  <c r="I157" i="491"/>
  <c r="K53" i="491"/>
  <c r="J54" i="491"/>
  <c r="J275" i="491"/>
  <c r="K274" i="491"/>
  <c r="K196" i="491"/>
  <c r="J197" i="491"/>
  <c r="I94" i="491"/>
  <c r="J94" i="491"/>
  <c r="K93" i="491"/>
  <c r="Q4" i="625"/>
  <c r="G74" i="491"/>
  <c r="H155" i="491"/>
  <c r="J115" i="491"/>
  <c r="K114" i="491"/>
  <c r="K156" i="491"/>
  <c r="J157" i="491"/>
  <c r="I92" i="491"/>
  <c r="H277" i="491"/>
  <c r="N16" i="634"/>
  <c r="R12" i="547"/>
  <c r="F97" i="624"/>
  <c r="F167" i="624"/>
  <c r="E40" i="491"/>
  <c r="H16" i="547"/>
  <c r="H14" i="547"/>
  <c r="E222" i="491"/>
  <c r="C222" i="491"/>
  <c r="D223" i="491"/>
  <c r="F220" i="491"/>
  <c r="E220" i="491"/>
  <c r="F221" i="491"/>
  <c r="D214" i="491"/>
  <c r="D215" i="491"/>
  <c r="F216" i="491"/>
  <c r="E214" i="491"/>
  <c r="E215" i="491"/>
  <c r="E217" i="491"/>
  <c r="C216" i="491"/>
  <c r="D217" i="491"/>
  <c r="E155" i="491"/>
  <c r="D155" i="491"/>
  <c r="D281" i="491"/>
  <c r="E281" i="491"/>
  <c r="E283" i="491"/>
  <c r="K282" i="491"/>
  <c r="F283" i="491"/>
  <c r="F157" i="491"/>
  <c r="O4" i="628"/>
  <c r="D183" i="491"/>
  <c r="C220" i="491"/>
  <c r="D221" i="491"/>
  <c r="E137" i="491"/>
  <c r="F137" i="491"/>
  <c r="Q13" i="547"/>
  <c r="Q12" i="547"/>
  <c r="D157" i="491"/>
  <c r="D283" i="491"/>
  <c r="F115" i="491"/>
  <c r="E157" i="491"/>
  <c r="E260" i="491"/>
  <c r="F261" i="491"/>
  <c r="E262" i="491"/>
  <c r="F254" i="491"/>
  <c r="F255" i="491"/>
  <c r="D256" i="491"/>
  <c r="C256" i="491"/>
  <c r="D257" i="491"/>
  <c r="E256" i="491"/>
  <c r="C260" i="491"/>
  <c r="D261" i="491"/>
  <c r="C262" i="491"/>
  <c r="D263" i="491"/>
  <c r="K142" i="491"/>
  <c r="E143" i="491"/>
  <c r="E234" i="491"/>
  <c r="E235" i="491"/>
  <c r="C240" i="491"/>
  <c r="D241" i="491"/>
  <c r="F240" i="491"/>
  <c r="F241" i="491"/>
  <c r="AA14" i="547"/>
  <c r="AJ6" i="547"/>
  <c r="D161" i="491"/>
  <c r="D137" i="491"/>
  <c r="AK12" i="547"/>
  <c r="AK13" i="547"/>
  <c r="F22" i="547"/>
  <c r="F23" i="547"/>
  <c r="A48" i="491"/>
  <c r="K19" i="491"/>
  <c r="AB13" i="547"/>
  <c r="I91" i="623"/>
  <c r="I156" i="626"/>
  <c r="I161" i="626"/>
  <c r="H161" i="626"/>
  <c r="O161" i="626"/>
  <c r="H91" i="631"/>
  <c r="N91" i="631"/>
  <c r="D92" i="491"/>
  <c r="E94" i="491"/>
  <c r="I71" i="635"/>
  <c r="I91" i="635"/>
  <c r="H91" i="635"/>
  <c r="N91" i="635"/>
  <c r="E20" i="491"/>
  <c r="E100" i="491"/>
  <c r="H91" i="557"/>
  <c r="O91" i="557"/>
  <c r="H91" i="623"/>
  <c r="O91" i="623"/>
  <c r="H161" i="623"/>
  <c r="O161" i="623"/>
  <c r="I156" i="623"/>
  <c r="I161" i="623"/>
  <c r="E54" i="500"/>
  <c r="E43" i="500"/>
  <c r="E33" i="500"/>
  <c r="E68" i="500"/>
  <c r="E72" i="500"/>
  <c r="BL8" i="546"/>
  <c r="H91" i="634"/>
  <c r="N91" i="634"/>
  <c r="C52" i="560"/>
  <c r="C71" i="560"/>
  <c r="C95" i="560"/>
  <c r="C53" i="560"/>
  <c r="C46" i="560"/>
  <c r="C104" i="560"/>
  <c r="I256" i="491"/>
  <c r="C72" i="560"/>
  <c r="C108" i="560"/>
  <c r="C68" i="560"/>
  <c r="D90" i="560"/>
  <c r="C99" i="560"/>
  <c r="C18" i="560"/>
  <c r="C89" i="560"/>
  <c r="C49" i="560"/>
  <c r="H216" i="491"/>
  <c r="C81" i="560"/>
  <c r="C26" i="560"/>
  <c r="C22" i="560"/>
  <c r="C70" i="560"/>
  <c r="C8" i="560"/>
  <c r="C64" i="560"/>
  <c r="D73" i="560"/>
  <c r="C88" i="560"/>
  <c r="C28" i="560"/>
  <c r="C37" i="560"/>
  <c r="C111" i="560"/>
  <c r="J214" i="491"/>
  <c r="C84" i="560"/>
  <c r="C77" i="560"/>
  <c r="C86" i="560"/>
  <c r="C23" i="560"/>
  <c r="C82" i="560"/>
  <c r="C45" i="560"/>
  <c r="H234" i="491"/>
  <c r="C50" i="560"/>
  <c r="C38" i="560"/>
  <c r="C78" i="560"/>
  <c r="C51" i="560"/>
  <c r="C56" i="560"/>
  <c r="C13" i="560"/>
  <c r="C103" i="560"/>
  <c r="C102" i="560"/>
  <c r="D57" i="560"/>
  <c r="C63" i="560"/>
  <c r="C47" i="560"/>
  <c r="C101" i="560"/>
  <c r="C25" i="560"/>
  <c r="C40" i="560"/>
  <c r="C100" i="560"/>
  <c r="C19" i="560"/>
  <c r="C97" i="560"/>
  <c r="C58" i="560"/>
  <c r="C11" i="560"/>
  <c r="C34" i="560"/>
  <c r="C7" i="560"/>
  <c r="C67" i="560"/>
  <c r="D20" i="560"/>
  <c r="C79" i="560"/>
  <c r="C24" i="560"/>
  <c r="I216" i="491"/>
  <c r="C5" i="560"/>
  <c r="C92" i="560"/>
  <c r="C110" i="560"/>
  <c r="C85" i="560"/>
  <c r="C14" i="560"/>
  <c r="D35" i="560"/>
  <c r="C30" i="560"/>
  <c r="C36" i="560"/>
  <c r="C93" i="560"/>
  <c r="C48" i="560"/>
  <c r="C44" i="560"/>
  <c r="D76" i="560"/>
  <c r="C98" i="560"/>
  <c r="C87" i="560"/>
  <c r="C27" i="560"/>
  <c r="C12" i="560"/>
  <c r="C6" i="560"/>
  <c r="C54" i="560"/>
  <c r="I214" i="491"/>
  <c r="C60" i="560"/>
  <c r="D17" i="560"/>
  <c r="C15" i="560"/>
  <c r="C55" i="560"/>
  <c r="C33" i="560"/>
  <c r="C69" i="560"/>
  <c r="C9" i="560"/>
  <c r="C65" i="560"/>
  <c r="C96" i="560"/>
  <c r="C10" i="560"/>
  <c r="C75" i="560"/>
  <c r="C91" i="560"/>
  <c r="C106" i="560"/>
  <c r="C62" i="560"/>
  <c r="G216" i="491"/>
  <c r="D41" i="560"/>
  <c r="C74" i="560"/>
  <c r="C107" i="560"/>
  <c r="D32" i="560"/>
  <c r="C42" i="560"/>
  <c r="C59" i="560"/>
  <c r="C29" i="560"/>
  <c r="C39" i="560"/>
  <c r="D112" i="560"/>
  <c r="C94" i="560"/>
  <c r="C16" i="560"/>
  <c r="C109" i="560"/>
  <c r="C105" i="560"/>
  <c r="C61" i="560"/>
  <c r="C31" i="560"/>
  <c r="C21" i="560"/>
  <c r="D83" i="560"/>
  <c r="C66" i="560"/>
  <c r="C80" i="560"/>
  <c r="C43" i="560"/>
  <c r="C139" i="510"/>
  <c r="C67" i="510"/>
  <c r="C109" i="510"/>
  <c r="C201" i="510"/>
  <c r="C43" i="510"/>
  <c r="C13" i="510"/>
  <c r="C87" i="510"/>
  <c r="B83" i="560"/>
  <c r="C111" i="510"/>
  <c r="C25" i="510"/>
  <c r="C131" i="510"/>
  <c r="C75" i="510"/>
  <c r="C63" i="510"/>
  <c r="C55" i="510"/>
  <c r="C81" i="510"/>
  <c r="C57" i="510"/>
  <c r="C31" i="510"/>
  <c r="C175" i="510"/>
  <c r="C161" i="510"/>
  <c r="C177" i="510"/>
  <c r="C123" i="510"/>
  <c r="C197" i="510"/>
  <c r="C19" i="510"/>
  <c r="B73" i="560"/>
  <c r="B17" i="560"/>
  <c r="B76" i="560"/>
  <c r="K214" i="491"/>
  <c r="J215" i="491"/>
  <c r="C129" i="510"/>
  <c r="C89" i="510"/>
  <c r="C51" i="510"/>
  <c r="C17" i="510"/>
  <c r="C97" i="510"/>
  <c r="C133" i="510"/>
  <c r="C141" i="510"/>
  <c r="C121" i="510"/>
  <c r="C187" i="510"/>
  <c r="C203" i="510"/>
  <c r="C45" i="510"/>
  <c r="C33" i="510"/>
  <c r="C73" i="510"/>
  <c r="C95" i="510"/>
  <c r="C53" i="510"/>
  <c r="C189" i="510"/>
  <c r="C61" i="510"/>
  <c r="C127" i="510"/>
  <c r="C163" i="510"/>
  <c r="B112" i="560"/>
  <c r="B35" i="560"/>
  <c r="B57" i="560"/>
  <c r="H217" i="491"/>
  <c r="N16" i="631"/>
  <c r="I215" i="491"/>
  <c r="C29" i="510"/>
  <c r="C205" i="510"/>
  <c r="C99" i="510"/>
  <c r="C79" i="510"/>
  <c r="C171" i="510"/>
  <c r="C207" i="510"/>
  <c r="C179" i="510"/>
  <c r="C59" i="510"/>
  <c r="C27" i="510"/>
  <c r="C37" i="510"/>
  <c r="C119" i="510"/>
  <c r="C185" i="510"/>
  <c r="C113" i="510"/>
  <c r="C199" i="510"/>
  <c r="C85" i="510"/>
  <c r="C11" i="510"/>
  <c r="C103" i="510"/>
  <c r="B90" i="560"/>
  <c r="B32" i="560"/>
  <c r="I217" i="491"/>
  <c r="J217" i="491"/>
  <c r="C157" i="510"/>
  <c r="C137" i="510"/>
  <c r="C49" i="510"/>
  <c r="C77" i="510"/>
  <c r="C149" i="510"/>
  <c r="C159" i="510"/>
  <c r="C101" i="510"/>
  <c r="C145" i="510"/>
  <c r="B41" i="560"/>
  <c r="B20" i="560"/>
  <c r="H235" i="491"/>
  <c r="I235" i="491"/>
  <c r="I257" i="491"/>
  <c r="J257" i="491"/>
  <c r="G217" i="491"/>
  <c r="C135" i="510"/>
  <c r="C91" i="510"/>
  <c r="C209" i="510"/>
  <c r="C125" i="510"/>
  <c r="C15" i="510"/>
  <c r="C165" i="510"/>
  <c r="C93" i="510"/>
  <c r="C69" i="510"/>
  <c r="C47" i="510"/>
  <c r="C107" i="510"/>
  <c r="C183" i="510"/>
  <c r="C23" i="510"/>
  <c r="C173" i="510"/>
  <c r="C191" i="510"/>
  <c r="C151" i="510"/>
  <c r="C117" i="510"/>
  <c r="C155" i="510"/>
  <c r="C143" i="510"/>
  <c r="C21" i="510"/>
  <c r="C195" i="510"/>
  <c r="C169" i="510"/>
  <c r="C105" i="510"/>
  <c r="C193" i="510"/>
  <c r="C39" i="510"/>
  <c r="F257" i="491"/>
  <c r="O4" i="633"/>
  <c r="N16" i="633"/>
  <c r="AB15" i="547"/>
  <c r="AB14" i="547"/>
  <c r="F217" i="491"/>
  <c r="O4" i="631"/>
  <c r="K222" i="491"/>
  <c r="E223" i="491"/>
  <c r="F223" i="491"/>
  <c r="F235" i="491"/>
  <c r="G255" i="491"/>
  <c r="BM8" i="546"/>
  <c r="BL9" i="546"/>
  <c r="BN8" i="546"/>
  <c r="F8" i="547"/>
  <c r="H24" i="524"/>
  <c r="F24" i="547"/>
  <c r="M9" i="524"/>
  <c r="K260" i="491"/>
  <c r="E261" i="491"/>
  <c r="AJ7" i="547"/>
  <c r="AI12" i="547"/>
  <c r="F12" i="547"/>
  <c r="H25" i="524"/>
  <c r="E257" i="491"/>
  <c r="E263" i="491"/>
  <c r="K262" i="491"/>
  <c r="F263" i="491"/>
  <c r="K220" i="491"/>
  <c r="E221" i="491"/>
  <c r="F215" i="491"/>
  <c r="K256" i="491"/>
  <c r="K234" i="491"/>
  <c r="C76" i="560"/>
  <c r="C83" i="560"/>
  <c r="C20" i="560"/>
  <c r="C112" i="560"/>
  <c r="C41" i="560"/>
  <c r="C57" i="560"/>
  <c r="C73" i="560"/>
  <c r="C90" i="560"/>
  <c r="C17" i="560"/>
  <c r="C35" i="560"/>
  <c r="C32" i="560"/>
  <c r="C41" i="510"/>
  <c r="C65" i="510"/>
  <c r="C147" i="510"/>
  <c r="C167" i="510"/>
  <c r="C83" i="510"/>
  <c r="C181" i="510"/>
  <c r="C115" i="510"/>
  <c r="C153" i="510"/>
  <c r="C71" i="510"/>
  <c r="C35" i="510"/>
  <c r="BM9" i="546"/>
  <c r="BN9" i="546"/>
  <c r="E193" i="510"/>
  <c r="F193" i="510"/>
  <c r="F21" i="510"/>
  <c r="E21" i="510"/>
  <c r="E151" i="510"/>
  <c r="F151" i="510"/>
  <c r="F183" i="510"/>
  <c r="E183" i="510"/>
  <c r="F93" i="510"/>
  <c r="E93" i="510"/>
  <c r="E209" i="510"/>
  <c r="F209" i="510"/>
  <c r="E159" i="510"/>
  <c r="F159" i="510"/>
  <c r="E137" i="510"/>
  <c r="F137" i="510"/>
  <c r="F85" i="510"/>
  <c r="E85" i="510"/>
  <c r="E119" i="510"/>
  <c r="F119" i="510"/>
  <c r="F179" i="510"/>
  <c r="E179" i="510"/>
  <c r="F99" i="510"/>
  <c r="E99" i="510"/>
  <c r="E189" i="510"/>
  <c r="F189" i="510"/>
  <c r="F33" i="510"/>
  <c r="E33" i="510"/>
  <c r="E121" i="510"/>
  <c r="F121" i="510"/>
  <c r="E17" i="510"/>
  <c r="F17" i="510"/>
  <c r="F177" i="510"/>
  <c r="E177" i="510"/>
  <c r="E57" i="510"/>
  <c r="F57" i="510"/>
  <c r="E75" i="510"/>
  <c r="F75" i="510"/>
  <c r="F201" i="510"/>
  <c r="E201" i="510"/>
  <c r="AJ12" i="547"/>
  <c r="AJ15" i="547"/>
  <c r="AI13" i="547"/>
  <c r="AJ13" i="547"/>
  <c r="AI14" i="547"/>
  <c r="AJ14" i="547"/>
  <c r="BL10" i="546"/>
  <c r="E105" i="510"/>
  <c r="F105" i="510"/>
  <c r="F143" i="510"/>
  <c r="E143" i="510"/>
  <c r="F191" i="510"/>
  <c r="E191" i="510"/>
  <c r="F107" i="510"/>
  <c r="E107" i="510"/>
  <c r="F165" i="510"/>
  <c r="E165" i="510"/>
  <c r="F91" i="510"/>
  <c r="E91" i="510"/>
  <c r="F149" i="510"/>
  <c r="E149" i="510"/>
  <c r="E157" i="510"/>
  <c r="F157" i="510"/>
  <c r="E199" i="510"/>
  <c r="F199" i="510"/>
  <c r="E37" i="510"/>
  <c r="F37" i="510"/>
  <c r="E207" i="510"/>
  <c r="F207" i="510"/>
  <c r="F205" i="510"/>
  <c r="E205" i="510"/>
  <c r="E163" i="510"/>
  <c r="F163" i="510"/>
  <c r="E53" i="510"/>
  <c r="F53" i="510"/>
  <c r="E45" i="510"/>
  <c r="F45" i="510"/>
  <c r="E141" i="510"/>
  <c r="F141" i="510"/>
  <c r="E51" i="510"/>
  <c r="F51" i="510"/>
  <c r="F19" i="510"/>
  <c r="E19" i="510"/>
  <c r="E161" i="510"/>
  <c r="F161" i="510"/>
  <c r="F81" i="510"/>
  <c r="E81" i="510"/>
  <c r="F131" i="510"/>
  <c r="E131" i="510"/>
  <c r="E87" i="510"/>
  <c r="F87" i="510"/>
  <c r="E109" i="510"/>
  <c r="F109" i="510"/>
  <c r="F14" i="547"/>
  <c r="I11" i="547"/>
  <c r="I12" i="547"/>
  <c r="I9" i="547"/>
  <c r="E169" i="510"/>
  <c r="F169" i="510"/>
  <c r="F155" i="510"/>
  <c r="E155" i="510"/>
  <c r="E173" i="510"/>
  <c r="F173" i="510"/>
  <c r="E47" i="510"/>
  <c r="F47" i="510"/>
  <c r="F15" i="510"/>
  <c r="E15" i="510"/>
  <c r="E135" i="510"/>
  <c r="F135" i="510"/>
  <c r="F145" i="510"/>
  <c r="E145" i="510"/>
  <c r="E77" i="510"/>
  <c r="F77" i="510"/>
  <c r="E103" i="510"/>
  <c r="F103" i="510"/>
  <c r="E113" i="510"/>
  <c r="F113" i="510"/>
  <c r="E27" i="510"/>
  <c r="F27" i="510"/>
  <c r="E171" i="510"/>
  <c r="F171" i="510"/>
  <c r="E29" i="510"/>
  <c r="F29" i="510"/>
  <c r="E127" i="510"/>
  <c r="F127" i="510"/>
  <c r="E95" i="510"/>
  <c r="F95" i="510"/>
  <c r="E203" i="510"/>
  <c r="F203" i="510"/>
  <c r="F133" i="510"/>
  <c r="E133" i="510"/>
  <c r="F89" i="510"/>
  <c r="E89" i="510"/>
  <c r="E197" i="510"/>
  <c r="F197" i="510"/>
  <c r="F175" i="510"/>
  <c r="E175" i="510"/>
  <c r="E55" i="510"/>
  <c r="F55" i="510"/>
  <c r="F25" i="510"/>
  <c r="E25" i="510"/>
  <c r="E13" i="510"/>
  <c r="F13" i="510"/>
  <c r="F67" i="510"/>
  <c r="E67" i="510"/>
  <c r="F16" i="547"/>
  <c r="P8" i="547"/>
  <c r="O15" i="547"/>
  <c r="J11" i="547"/>
  <c r="J12" i="547"/>
  <c r="J9" i="547"/>
  <c r="E39" i="510"/>
  <c r="F39" i="510"/>
  <c r="F195" i="510"/>
  <c r="E195" i="510"/>
  <c r="F117" i="510"/>
  <c r="E117" i="510"/>
  <c r="F23" i="510"/>
  <c r="E23" i="510"/>
  <c r="F69" i="510"/>
  <c r="E69" i="510"/>
  <c r="F125" i="510"/>
  <c r="E125" i="510"/>
  <c r="F101" i="510"/>
  <c r="E101" i="510"/>
  <c r="F49" i="510"/>
  <c r="E49" i="510"/>
  <c r="F11" i="510"/>
  <c r="E11" i="510"/>
  <c r="F185" i="510"/>
  <c r="E185" i="510"/>
  <c r="E59" i="510"/>
  <c r="F59" i="510"/>
  <c r="F79" i="510"/>
  <c r="E79" i="510"/>
  <c r="E61" i="510"/>
  <c r="F61" i="510"/>
  <c r="F73" i="510"/>
  <c r="E73" i="510"/>
  <c r="F187" i="510"/>
  <c r="E187" i="510"/>
  <c r="F97" i="510"/>
  <c r="E97" i="510"/>
  <c r="F129" i="510"/>
  <c r="E129" i="510"/>
  <c r="E123" i="510"/>
  <c r="F123" i="510"/>
  <c r="E31" i="510"/>
  <c r="F31" i="510"/>
  <c r="E63" i="510"/>
  <c r="F63" i="510"/>
  <c r="E111" i="510"/>
  <c r="F111" i="510"/>
  <c r="E43" i="510"/>
  <c r="F43" i="510"/>
  <c r="F139" i="510"/>
  <c r="E139" i="510"/>
  <c r="E153" i="510"/>
  <c r="F153" i="510"/>
  <c r="F167" i="510"/>
  <c r="E167" i="510"/>
  <c r="BM10" i="546"/>
  <c r="BN10" i="546"/>
  <c r="BL11" i="546"/>
  <c r="F115" i="510"/>
  <c r="E115" i="510"/>
  <c r="F147" i="510"/>
  <c r="E147" i="510"/>
  <c r="P6" i="547"/>
  <c r="F35" i="510"/>
  <c r="E35" i="510"/>
  <c r="E181" i="510"/>
  <c r="F181" i="510"/>
  <c r="E65" i="510"/>
  <c r="F65" i="510"/>
  <c r="E71" i="510"/>
  <c r="F71" i="510"/>
  <c r="E83" i="510"/>
  <c r="F83" i="510"/>
  <c r="F41" i="510"/>
  <c r="E41" i="510"/>
  <c r="P7" i="547"/>
  <c r="O12" i="547"/>
  <c r="BM11" i="546"/>
  <c r="BN11" i="546"/>
  <c r="BL12" i="546"/>
  <c r="BL13" i="546"/>
  <c r="P12" i="547"/>
  <c r="P15" i="547"/>
  <c r="O13" i="547"/>
  <c r="P13" i="547"/>
  <c r="O14" i="547"/>
  <c r="P14" i="547"/>
  <c r="BM12" i="546"/>
  <c r="BN12" i="546"/>
  <c r="BL14" i="546"/>
  <c r="BL15" i="546"/>
  <c r="BM15" i="546"/>
  <c r="BN15" i="546"/>
  <c r="BN13" i="546"/>
  <c r="BM13" i="546"/>
  <c r="BL16" i="546"/>
  <c r="BN14" i="546"/>
  <c r="BM14" i="546"/>
  <c r="BL17" i="546"/>
  <c r="BM16" i="546"/>
  <c r="BN16" i="546"/>
  <c r="BN17" i="546"/>
  <c r="BM17" i="546"/>
  <c r="BL18" i="546"/>
  <c r="BM18" i="546"/>
  <c r="BN18" i="546"/>
  <c r="BL19" i="546"/>
  <c r="BM19" i="546"/>
  <c r="BN19" i="546"/>
  <c r="BL20" i="546"/>
  <c r="BN20" i="546"/>
  <c r="BM20" i="546"/>
  <c r="BL21" i="546"/>
  <c r="BM21" i="546"/>
  <c r="BN21" i="546"/>
  <c r="BL22" i="546"/>
  <c r="BN22" i="546"/>
  <c r="BM22" i="546"/>
  <c r="BL23" i="546"/>
  <c r="BM23" i="546"/>
  <c r="BN23" i="546"/>
  <c r="BL24" i="546"/>
  <c r="BM24" i="546"/>
  <c r="BN24" i="546"/>
  <c r="BL25" i="546"/>
  <c r="BM25" i="546"/>
  <c r="BN25" i="546"/>
  <c r="BL26" i="546"/>
  <c r="BM26" i="546"/>
  <c r="BN26" i="546"/>
  <c r="BL27" i="546"/>
  <c r="BN27" i="546"/>
  <c r="BM27" i="546"/>
  <c r="BL28" i="546"/>
  <c r="BM28" i="546"/>
  <c r="BN28" i="546"/>
  <c r="BL29" i="546"/>
  <c r="BM29" i="546"/>
  <c r="BN29" i="546"/>
  <c r="BL30" i="546"/>
  <c r="BM30" i="546"/>
  <c r="BN30" i="546"/>
  <c r="BL31" i="546"/>
  <c r="BN31" i="546"/>
  <c r="BM31" i="546"/>
  <c r="BL32" i="546"/>
  <c r="BN32" i="546"/>
  <c r="BM32" i="546"/>
  <c r="BL33" i="546"/>
  <c r="BN33" i="546"/>
  <c r="BM33" i="546"/>
  <c r="BL34" i="546"/>
  <c r="BM34" i="546"/>
  <c r="BN34" i="546"/>
  <c r="BL35" i="546"/>
  <c r="BN35" i="546"/>
  <c r="BM35" i="546"/>
  <c r="BL36" i="546"/>
  <c r="BM36" i="546"/>
  <c r="BN36" i="546"/>
  <c r="BL37" i="546"/>
  <c r="BM37" i="546"/>
  <c r="BN37" i="546"/>
  <c r="BL38" i="546"/>
  <c r="BN38" i="546"/>
  <c r="BM38" i="546"/>
  <c r="BL39" i="546"/>
  <c r="BN39" i="546"/>
  <c r="BM39" i="546"/>
  <c r="BL40" i="546"/>
  <c r="BN40" i="546"/>
  <c r="BM40" i="546"/>
  <c r="BL41" i="546"/>
  <c r="BN41" i="546"/>
  <c r="BM41" i="546"/>
  <c r="BL42" i="546"/>
  <c r="BM42" i="546"/>
  <c r="BN42" i="546"/>
</calcChain>
</file>

<file path=xl/sharedStrings.xml><?xml version="1.0" encoding="utf-8"?>
<sst xmlns="http://schemas.openxmlformats.org/spreadsheetml/2006/main" count="24998" uniqueCount="1940">
  <si>
    <t>Sweden</t>
  </si>
  <si>
    <t>FAB CE</t>
  </si>
  <si>
    <t>Austria</t>
  </si>
  <si>
    <t>Czech Republic</t>
  </si>
  <si>
    <t>Croatia</t>
  </si>
  <si>
    <t>Hungary</t>
  </si>
  <si>
    <t>Slovakia</t>
  </si>
  <si>
    <t>Slovenia</t>
  </si>
  <si>
    <t>FABEC</t>
  </si>
  <si>
    <t>Belgium</t>
  </si>
  <si>
    <t>France</t>
  </si>
  <si>
    <t>Germany</t>
  </si>
  <si>
    <t>Luxembourg</t>
  </si>
  <si>
    <t>Netherlands</t>
  </si>
  <si>
    <t>Switzerland</t>
  </si>
  <si>
    <t>NEFAB</t>
  </si>
  <si>
    <t>Estonia</t>
  </si>
  <si>
    <t>Finland</t>
  </si>
  <si>
    <t>Number of airports</t>
  </si>
  <si>
    <t>Number of ANSPs</t>
  </si>
  <si>
    <t>Is the additional indicator and target(s) supporting the achievement of the Union-wide targets and the resulting targets at local level? Please specify.</t>
  </si>
  <si>
    <t>Click to select number of airports</t>
  </si>
  <si>
    <t>Value</t>
  </si>
  <si>
    <t>Additional comments</t>
  </si>
  <si>
    <t>Geographical scope</t>
  </si>
  <si>
    <t>Description</t>
  </si>
  <si>
    <t>Airport name</t>
  </si>
  <si>
    <t>ICAO code</t>
  </si>
  <si>
    <t>IFR air transport movements</t>
  </si>
  <si>
    <t>Average</t>
  </si>
  <si>
    <t>Target</t>
  </si>
  <si>
    <t>National level</t>
  </si>
  <si>
    <t>Union-wide targets</t>
  </si>
  <si>
    <t>&lt;insert appropriate breakdown level&gt;</t>
  </si>
  <si>
    <t>KPI details</t>
  </si>
  <si>
    <t>KPI description and rationale</t>
  </si>
  <si>
    <t>Formula, metric and parameters</t>
  </si>
  <si>
    <t>Data sources</t>
  </si>
  <si>
    <t>Airport level</t>
  </si>
  <si>
    <t>Airport contribution to national targets</t>
  </si>
  <si>
    <t>Lifecycle (Amortisation period in years)</t>
  </si>
  <si>
    <t>Latvia</t>
  </si>
  <si>
    <t>Norway</t>
  </si>
  <si>
    <t>SW FAB</t>
  </si>
  <si>
    <t>Portugal Continental</t>
  </si>
  <si>
    <t>Portugal</t>
  </si>
  <si>
    <t>Spain Canarias</t>
  </si>
  <si>
    <t>Spain</t>
  </si>
  <si>
    <t>Spain Continental</t>
  </si>
  <si>
    <t>UK-Ireland FAB</t>
  </si>
  <si>
    <t>Ireland</t>
  </si>
  <si>
    <t>United Kingdom</t>
  </si>
  <si>
    <t>IAA</t>
  </si>
  <si>
    <t>NATS (Continental)</t>
  </si>
  <si>
    <t>En-route delay per flight</t>
  </si>
  <si>
    <t>LOWW</t>
  </si>
  <si>
    <t>LOWS</t>
  </si>
  <si>
    <t>LOWG</t>
  </si>
  <si>
    <t>LOWL</t>
  </si>
  <si>
    <t>LOWI</t>
  </si>
  <si>
    <t>LOWK</t>
  </si>
  <si>
    <t>EBBR</t>
  </si>
  <si>
    <t>LKPR</t>
  </si>
  <si>
    <t>LKMT</t>
  </si>
  <si>
    <t>LKTB</t>
  </si>
  <si>
    <t>LKKV</t>
  </si>
  <si>
    <t>EKCH</t>
  </si>
  <si>
    <t>EETN</t>
  </si>
  <si>
    <t>EFHK</t>
  </si>
  <si>
    <t>LFPG</t>
  </si>
  <si>
    <t>LFPO</t>
  </si>
  <si>
    <t>LFMN</t>
  </si>
  <si>
    <t>LFLL</t>
  </si>
  <si>
    <t>LFML</t>
  </si>
  <si>
    <t>LFBO</t>
  </si>
  <si>
    <t>LFSB</t>
  </si>
  <si>
    <t>LFPB</t>
  </si>
  <si>
    <t>LFBD</t>
  </si>
  <si>
    <t>LFRS</t>
  </si>
  <si>
    <t>LFST</t>
  </si>
  <si>
    <t>LFMT</t>
  </si>
  <si>
    <t>LFQQ</t>
  </si>
  <si>
    <t>LFOB</t>
  </si>
  <si>
    <t>LFLC</t>
  </si>
  <si>
    <t>LFRN</t>
  </si>
  <si>
    <t>LFKJ</t>
  </si>
  <si>
    <t>LFMD</t>
  </si>
  <si>
    <t>LFBP</t>
  </si>
  <si>
    <t>LFKB</t>
  </si>
  <si>
    <t>LFRB</t>
  </si>
  <si>
    <t>LFBZ</t>
  </si>
  <si>
    <t>LFTH</t>
  </si>
  <si>
    <t>LFPN</t>
  </si>
  <si>
    <t>LFBT</t>
  </si>
  <si>
    <t>LFBL</t>
  </si>
  <si>
    <t>LFLY</t>
  </si>
  <si>
    <t>LFKF</t>
  </si>
  <si>
    <t>LFMP</t>
  </si>
  <si>
    <t>LFRH</t>
  </si>
  <si>
    <t>LFLB</t>
  </si>
  <si>
    <t>LFJL</t>
  </si>
  <si>
    <t>LFLS</t>
  </si>
  <si>
    <t>LFMV</t>
  </si>
  <si>
    <t>LFKC</t>
  </si>
  <si>
    <t>LFMK</t>
  </si>
  <si>
    <t>LFCR</t>
  </si>
  <si>
    <t>LFBH</t>
  </si>
  <si>
    <t>LFBI</t>
  </si>
  <si>
    <t>LFRK</t>
  </si>
  <si>
    <t>LFTW</t>
  </si>
  <si>
    <t>LFMU</t>
  </si>
  <si>
    <t>LFBE</t>
  </si>
  <si>
    <t>LFBA</t>
  </si>
  <si>
    <t>LFRD</t>
  </si>
  <si>
    <t>LFLP</t>
  </si>
  <si>
    <t>LFRG</t>
  </si>
  <si>
    <t>LFMI</t>
  </si>
  <si>
    <t>LFOK</t>
  </si>
  <si>
    <t>LFRQ</t>
  </si>
  <si>
    <t>LFLX</t>
  </si>
  <si>
    <t>LFOT</t>
  </si>
  <si>
    <t>LFRZ</t>
  </si>
  <si>
    <t>LFGJ</t>
  </si>
  <si>
    <t>LFMH</t>
  </si>
  <si>
    <t>LFAQ</t>
  </si>
  <si>
    <t>LFSL</t>
  </si>
  <si>
    <t>EDDF</t>
  </si>
  <si>
    <t>EDDM</t>
  </si>
  <si>
    <t>EDDL</t>
  </si>
  <si>
    <t>EDDH</t>
  </si>
  <si>
    <t>EDDK</t>
  </si>
  <si>
    <t>EDDS</t>
  </si>
  <si>
    <t>EDDV</t>
  </si>
  <si>
    <t>EDDB</t>
  </si>
  <si>
    <t>EDDN</t>
  </si>
  <si>
    <t>EDDP</t>
  </si>
  <si>
    <t>EDDW</t>
  </si>
  <si>
    <t>EDDC</t>
  </si>
  <si>
    <t>EDDG</t>
  </si>
  <si>
    <t>EDDR</t>
  </si>
  <si>
    <t>EDDE</t>
  </si>
  <si>
    <t>LGAV</t>
  </si>
  <si>
    <t>LHBP</t>
  </si>
  <si>
    <t>EIDW</t>
  </si>
  <si>
    <t>LIRF</t>
  </si>
  <si>
    <t>LIMC</t>
  </si>
  <si>
    <t>LIML</t>
  </si>
  <si>
    <t>LIPZ</t>
  </si>
  <si>
    <t>LIME</t>
  </si>
  <si>
    <t>LIRN</t>
  </si>
  <si>
    <t>LIPE</t>
  </si>
  <si>
    <t>EVRA</t>
  </si>
  <si>
    <t>EVLA</t>
  </si>
  <si>
    <t>EVVA</t>
  </si>
  <si>
    <t>ELLX</t>
  </si>
  <si>
    <t>LMML</t>
  </si>
  <si>
    <t>EHAM</t>
  </si>
  <si>
    <t>EHRD</t>
  </si>
  <si>
    <t>EHGG</t>
  </si>
  <si>
    <t>EHBK</t>
  </si>
  <si>
    <t>ENGM</t>
  </si>
  <si>
    <t>ENBR</t>
  </si>
  <si>
    <t>ENZV</t>
  </si>
  <si>
    <t>ENVA</t>
  </si>
  <si>
    <t>EPWA</t>
  </si>
  <si>
    <t>EPKK</t>
  </si>
  <si>
    <t>EPGD</t>
  </si>
  <si>
    <t>EPKT</t>
  </si>
  <si>
    <t>EPWR</t>
  </si>
  <si>
    <t>EPPO</t>
  </si>
  <si>
    <t>EPBY</t>
  </si>
  <si>
    <t>EPSC</t>
  </si>
  <si>
    <t>EPLL</t>
  </si>
  <si>
    <t>EPZG</t>
  </si>
  <si>
    <t>EPMO</t>
  </si>
  <si>
    <t>LPPT</t>
  </si>
  <si>
    <t>LPPR</t>
  </si>
  <si>
    <t>LPFR</t>
  </si>
  <si>
    <t>LPMA</t>
  </si>
  <si>
    <t>LPPD</t>
  </si>
  <si>
    <t>LPHR</t>
  </si>
  <si>
    <t>LPAZ</t>
  </si>
  <si>
    <t>LPPS</t>
  </si>
  <si>
    <t>LPFL</t>
  </si>
  <si>
    <t>LROP</t>
  </si>
  <si>
    <t>LEMD</t>
  </si>
  <si>
    <t>LEBL</t>
  </si>
  <si>
    <t>LEPA</t>
  </si>
  <si>
    <t>LEMG</t>
  </si>
  <si>
    <t>GCLP</t>
  </si>
  <si>
    <t>ESSA</t>
  </si>
  <si>
    <t>ESGG</t>
  </si>
  <si>
    <t>LSZH</t>
  </si>
  <si>
    <t>LSGG</t>
  </si>
  <si>
    <t>EGPH</t>
  </si>
  <si>
    <t>EGGW</t>
  </si>
  <si>
    <t>EGBB</t>
  </si>
  <si>
    <t>EGPF</t>
  </si>
  <si>
    <t>EGLL</t>
  </si>
  <si>
    <t>EGKK</t>
  </si>
  <si>
    <t>EGCC</t>
  </si>
  <si>
    <t>EGSS</t>
  </si>
  <si>
    <t>EPLB</t>
  </si>
  <si>
    <t>LRBS</t>
  </si>
  <si>
    <t>EDDT</t>
  </si>
  <si>
    <t>EETU</t>
  </si>
  <si>
    <t>EGLC</t>
  </si>
  <si>
    <t>Select Level</t>
  </si>
  <si>
    <t>Belgium-Luxembourg</t>
  </si>
  <si>
    <t>Baltic FAB</t>
  </si>
  <si>
    <t>Lithuania</t>
  </si>
  <si>
    <t>Poland</t>
  </si>
  <si>
    <t>BLUE MED FAB</t>
  </si>
  <si>
    <t>Cyprus</t>
  </si>
  <si>
    <t>Greece</t>
  </si>
  <si>
    <t>Italy</t>
  </si>
  <si>
    <t>Malta</t>
  </si>
  <si>
    <t>DANUBE FAB</t>
  </si>
  <si>
    <t>Bulgaria</t>
  </si>
  <si>
    <t>Romania</t>
  </si>
  <si>
    <t>DK-SE FAB</t>
  </si>
  <si>
    <t>Denmark</t>
  </si>
  <si>
    <t>NO_PRINT</t>
  </si>
  <si>
    <t>1.1 - The situation</t>
  </si>
  <si>
    <t>1.3 - Stakeholder consultation</t>
  </si>
  <si>
    <t>1 - INTRODUCTION</t>
  </si>
  <si>
    <t>3 - PERFORMANCE TARGETS AT LOCAL LEVEL</t>
  </si>
  <si>
    <t>-</t>
  </si>
  <si>
    <t>SECTION 1: INTRODUCTION</t>
  </si>
  <si>
    <t>SECTION 2: INVESTMENTS</t>
  </si>
  <si>
    <t>Actions agreed upon</t>
  </si>
  <si>
    <t>Points of disagreement and reasons</t>
  </si>
  <si>
    <t>Table of Content</t>
  </si>
  <si>
    <t>In light of this, different field categories have been identified and colour-coded to facilitate the reporting:</t>
  </si>
  <si>
    <t>Tips and tricks</t>
  </si>
  <si>
    <r>
      <t>·</t>
    </r>
    <r>
      <rPr>
        <sz val="7"/>
        <rFont val="Times New Roman"/>
        <family val="1"/>
      </rPr>
      <t xml:space="preserve">         </t>
    </r>
    <r>
      <rPr>
        <sz val="11"/>
        <rFont val="Arial"/>
        <family val="2"/>
      </rPr>
      <t>Since the Excel file is completely unprotected, be careful when filling the cells or adding lines/columns to avoid erasing the prefilled or pre-calculated areas.</t>
    </r>
  </si>
  <si>
    <r>
      <t>·</t>
    </r>
    <r>
      <rPr>
        <sz val="7"/>
        <rFont val="Times New Roman"/>
        <family val="1"/>
      </rPr>
      <t xml:space="preserve">         </t>
    </r>
    <r>
      <rPr>
        <sz val="11"/>
        <rFont val="Arial"/>
        <family val="2"/>
      </rPr>
      <t>Within a cell, press ALT+ENTER to jump to the next line.</t>
    </r>
  </si>
  <si>
    <r>
      <t>·</t>
    </r>
    <r>
      <rPr>
        <sz val="7"/>
        <rFont val="Times New Roman"/>
        <family val="1"/>
      </rPr>
      <t xml:space="preserve">         </t>
    </r>
    <r>
      <rPr>
        <sz val="11"/>
        <rFont val="Arial"/>
        <family val="2"/>
      </rPr>
      <t>For existing text from another source, copy and paste into the formula bar will ensure that all text remains within a single cell.</t>
    </r>
  </si>
  <si>
    <t>Structure and Purpose</t>
  </si>
  <si>
    <r>
      <t>·</t>
    </r>
    <r>
      <rPr>
        <sz val="7"/>
        <rFont val="Times New Roman"/>
        <family val="1"/>
      </rPr>
      <t xml:space="preserve">         </t>
    </r>
    <r>
      <rPr>
        <sz val="11"/>
        <rFont val="Arial"/>
        <family val="2"/>
      </rPr>
      <t>Manually adapt height of cell if necessary, in particular for text or description boxes.</t>
    </r>
  </si>
  <si>
    <t>Click to select</t>
  </si>
  <si>
    <t>Italy - Zone 1</t>
  </si>
  <si>
    <t>Italy - Zone 2</t>
  </si>
  <si>
    <t>Furthermore, to reduce the administrative burden on Member States the template is already prefilled to the maximum extent possible.</t>
  </si>
  <si>
    <r>
      <t>·</t>
    </r>
    <r>
      <rPr>
        <sz val="7"/>
        <rFont val="Times New Roman"/>
        <family val="1"/>
      </rPr>
      <t>        </t>
    </r>
    <r>
      <rPr>
        <sz val="7"/>
        <rFont val="Calibri"/>
        <family val="2"/>
        <scheme val="minor"/>
      </rPr>
      <t xml:space="preserve"> </t>
    </r>
    <r>
      <rPr>
        <sz val="11"/>
        <rFont val="Calibri"/>
        <family val="2"/>
        <scheme val="minor"/>
      </rPr>
      <t xml:space="preserve">In order to </t>
    </r>
    <r>
      <rPr>
        <b/>
        <sz val="11"/>
        <color rgb="FFFF0000"/>
        <rFont val="Calibri"/>
        <family val="2"/>
        <scheme val="minor"/>
      </rPr>
      <t>print</t>
    </r>
    <r>
      <rPr>
        <sz val="11"/>
        <rFont val="Calibri"/>
        <family val="2"/>
        <scheme val="minor"/>
      </rPr>
      <t xml:space="preserve"> your performance plan, please refer to section “Signatories”.</t>
    </r>
  </si>
  <si>
    <t>STRUCTURE AND PURPOSE</t>
  </si>
  <si>
    <t>SIGNATORIES</t>
  </si>
  <si>
    <t>1    INTRODUCTION</t>
  </si>
  <si>
    <t>1.1 THE SITUATION</t>
  </si>
  <si>
    <t>1.3 STAKEHOLDER CONSULTATION</t>
  </si>
  <si>
    <t>3 PERFORMANCE TARGETS AT LOCAL LEVEL</t>
  </si>
  <si>
    <t>1.2 TRAFFIC FORECASTS</t>
  </si>
  <si>
    <t>1.2 - Traffic Forecasts</t>
  </si>
  <si>
    <t>2017A</t>
  </si>
  <si>
    <t>2018A</t>
  </si>
  <si>
    <t>IFR movements (thousands)</t>
  </si>
  <si>
    <t>1.5 SERVICES UNDER MARKET CONDITIONS</t>
  </si>
  <si>
    <t>Description of the process</t>
  </si>
  <si>
    <t>Number of other entities</t>
  </si>
  <si>
    <t>Entity name</t>
  </si>
  <si>
    <t>Rationale for inclusion in the Performance Plan</t>
  </si>
  <si>
    <t>ANSP name</t>
  </si>
  <si>
    <t>Services</t>
  </si>
  <si>
    <t>En-route</t>
  </si>
  <si>
    <t>Terminal</t>
  </si>
  <si>
    <t>1.1.4 - Other general information relevant to the plan</t>
  </si>
  <si>
    <t>ANSP Name</t>
  </si>
  <si>
    <t>Description and scope of the cross-border arrangement</t>
  </si>
  <si>
    <t>Cross-border arrangements for the provision of ANS services</t>
  </si>
  <si>
    <t>Charging Zone</t>
  </si>
  <si>
    <t>1.6 - Process followed to develop and adopt a FAB Performance Plan</t>
  </si>
  <si>
    <t>Stakeholder group composition</t>
  </si>
  <si>
    <t>SECTION 4: CROSS-BORDER INITIATIVES AND SESAR IMPLEMENTATION</t>
  </si>
  <si>
    <t>Domain of activity</t>
  </si>
  <si>
    <t>1.1.2 - Other entities in the scope of the Performance and Charging Regulation as per Article 1(2) last para.</t>
  </si>
  <si>
    <t>1.1.3 - Charging zones (see also 1.4-List of Airports)</t>
  </si>
  <si>
    <t>Main issues discussed</t>
  </si>
  <si>
    <t>Final outcome of the consultation</t>
  </si>
  <si>
    <t>Local Forecast</t>
  </si>
  <si>
    <t>1.2.2 - Terminal</t>
  </si>
  <si>
    <t>Terminal traffic forecast</t>
  </si>
  <si>
    <t>NOTE: Section 1.3 (Stakeholder Consultation) should include details on the consultation with airspace users' representatives and ANSPs concerned on the rationale for not using the STATFOR base forecasts.</t>
  </si>
  <si>
    <t>Number of cross-border initiatives</t>
  </si>
  <si>
    <t>Initiative #1</t>
  </si>
  <si>
    <t>Initiative #2</t>
  </si>
  <si>
    <t>Initiative #3</t>
  </si>
  <si>
    <t>Initiative #4</t>
  </si>
  <si>
    <t>Initiative #5</t>
  </si>
  <si>
    <t>Initiative #6</t>
  </si>
  <si>
    <t>Initiative #7</t>
  </si>
  <si>
    <t>Initiative #8</t>
  </si>
  <si>
    <t>Initiative #9</t>
  </si>
  <si>
    <t>Initiative #10</t>
  </si>
  <si>
    <t>Expected performance benefits</t>
  </si>
  <si>
    <t>Name</t>
  </si>
  <si>
    <t>1.7.1 - Scope of the simplified charging scheme</t>
  </si>
  <si>
    <t>1.7.2 - Conditions for the application of the simplified charging scheme</t>
  </si>
  <si>
    <t>Description of the application of the simplified charging scheme</t>
  </si>
  <si>
    <t>5.1 - Traffic risk sharing parameters</t>
  </si>
  <si>
    <t>Dead band</t>
  </si>
  <si>
    <t>Risk sharing band</t>
  </si>
  <si>
    <t>Recent and expected progress</t>
  </si>
  <si>
    <t>4.2 - Deployment of SESAR Common Projects</t>
  </si>
  <si>
    <t>Enroute</t>
  </si>
  <si>
    <t>NSA(s) responsible for drawing up the Performance Plan</t>
  </si>
  <si>
    <t>1.4.2  Other airports added on a voluntary basis as per Article 1(4)</t>
  </si>
  <si>
    <t>ANSPs providing services in the FIR of another State</t>
  </si>
  <si>
    <t>ANSPs established in another Member State providing services in one or more of the State's FIRs</t>
  </si>
  <si>
    <t>Additional information</t>
  </si>
  <si>
    <t>Terminal Charging zone 1</t>
  </si>
  <si>
    <t>Terminal Charging zone 2</t>
  </si>
  <si>
    <t>Terminal Charging zone 3</t>
  </si>
  <si>
    <t>Charging zone</t>
  </si>
  <si>
    <t>Number of services under market conditions</t>
  </si>
  <si>
    <t>Geographical scope of the services</t>
  </si>
  <si>
    <t>1.4 - List of airports subject to the performance and charging Regulation</t>
  </si>
  <si>
    <t>Total value of the asset (capex or contractual leasing value)</t>
  </si>
  <si>
    <r>
      <rPr>
        <b/>
        <sz val="11"/>
        <color theme="1"/>
        <rFont val="Calibri"/>
        <family val="2"/>
        <scheme val="minor"/>
      </rPr>
      <t>Determined costs</t>
    </r>
    <r>
      <rPr>
        <sz val="11"/>
        <color theme="1"/>
        <rFont val="Calibri"/>
        <family val="2"/>
        <scheme val="minor"/>
      </rPr>
      <t xml:space="preserve"> of investment (i.e. depreciation, cost of capital and cost of leasing) (in national currency)</t>
    </r>
  </si>
  <si>
    <t>Number of new major investments</t>
  </si>
  <si>
    <r>
      <t xml:space="preserve">Sub-total of </t>
    </r>
    <r>
      <rPr>
        <b/>
        <sz val="11"/>
        <color indexed="8"/>
        <rFont val="Calibri"/>
        <family val="2"/>
      </rPr>
      <t>new major investments</t>
    </r>
    <r>
      <rPr>
        <sz val="11"/>
        <color theme="1"/>
        <rFont val="Calibri"/>
        <family val="2"/>
        <scheme val="minor"/>
      </rPr>
      <t xml:space="preserve"> above (1)</t>
    </r>
  </si>
  <si>
    <r>
      <t xml:space="preserve">Sub-total </t>
    </r>
    <r>
      <rPr>
        <b/>
        <sz val="11"/>
        <color theme="1"/>
        <rFont val="Calibri"/>
        <family val="2"/>
        <scheme val="minor"/>
      </rPr>
      <t xml:space="preserve">other new investments </t>
    </r>
    <r>
      <rPr>
        <sz val="11"/>
        <color theme="1"/>
        <rFont val="Calibri"/>
        <family val="2"/>
        <scheme val="minor"/>
      </rPr>
      <t>(2)</t>
    </r>
  </si>
  <si>
    <r>
      <t xml:space="preserve">Sub-total </t>
    </r>
    <r>
      <rPr>
        <b/>
        <sz val="11"/>
        <color theme="1"/>
        <rFont val="Calibri"/>
        <family val="2"/>
        <scheme val="minor"/>
      </rPr>
      <t xml:space="preserve">existing investments </t>
    </r>
    <r>
      <rPr>
        <sz val="11"/>
        <color theme="1"/>
        <rFont val="Calibri"/>
        <family val="2"/>
        <scheme val="minor"/>
      </rPr>
      <t>(3)</t>
    </r>
  </si>
  <si>
    <t>Total value of the asset</t>
  </si>
  <si>
    <t>Name of new major investment 1</t>
  </si>
  <si>
    <t>Name of new major investment (i.e. above 5 M€)</t>
  </si>
  <si>
    <t>NOTE: Section 1.3 (Stakeholder Consultation) should include details on the consultation with airspace users' representatives on new major investments.</t>
  </si>
  <si>
    <t>Investment in ATM systems</t>
  </si>
  <si>
    <t>If investment in ATM system, Reference to European ATM Master Plan / PCP</t>
  </si>
  <si>
    <t>SECTION 3: PERFORMANCE TARGETS AND MEASURES FOR THEIR ACHIEVEMENT</t>
  </si>
  <si>
    <t>National reference values</t>
  </si>
  <si>
    <t>% additional revenue returned</t>
  </si>
  <si>
    <t>Min. returned if SUs 10% &gt; plan</t>
  </si>
  <si>
    <t>Service units higher than plan</t>
  </si>
  <si>
    <t>Service units lower than plan</t>
  </si>
  <si>
    <t>Max. charged if SUs 10% &lt; plan</t>
  </si>
  <si>
    <t>Justification of the defined values of the adapted parameters in accordance with Art. 27(5)</t>
  </si>
  <si>
    <t>SECTION 5: TRAFFIC RISK SHARING ARRANGEMENTS AND INCENTIVE SCHEMES</t>
  </si>
  <si>
    <t>SECTION 6: IMPLEMENTATION OF THE PERFORMANCE PLAN</t>
  </si>
  <si>
    <t>The pivot values for RP3 are</t>
  </si>
  <si>
    <t>Yes</t>
  </si>
  <si>
    <t>a) In order to enable significant and unforeseen changes in traffic to be taken into account:</t>
  </si>
  <si>
    <t>Expressed in</t>
  </si>
  <si>
    <t>Max bonus</t>
  </si>
  <si>
    <t>% of DC</t>
  </si>
  <si>
    <t>Max penalty</t>
  </si>
  <si>
    <t>Financial advantages / disadvantages</t>
  </si>
  <si>
    <t>5.3 - Optional incentives</t>
  </si>
  <si>
    <t>Incentive description and rationale</t>
  </si>
  <si>
    <t>Applies to:</t>
  </si>
  <si>
    <t>Other parameters, formulas and metrics</t>
  </si>
  <si>
    <t>Maximum bonus (expressed as a % of the determined costs)</t>
  </si>
  <si>
    <t>Maximum penalty (expressed as a % of the determined costs)</t>
  </si>
  <si>
    <r>
      <t>Total maximum bonus for all optional incentives (</t>
    </r>
    <r>
      <rPr>
        <sz val="11"/>
        <color theme="1"/>
        <rFont val="Calibri"/>
        <family val="2"/>
      </rPr>
      <t>≤2%)</t>
    </r>
    <r>
      <rPr>
        <sz val="11"/>
        <color theme="1"/>
        <rFont val="Calibri"/>
        <family val="2"/>
        <scheme val="minor"/>
      </rPr>
      <t>:</t>
    </r>
  </si>
  <si>
    <t>Total maximum penalty for optional incentives (≤4%):</t>
  </si>
  <si>
    <t>Number of optional incentives</t>
  </si>
  <si>
    <t>Optional Incentive #1</t>
  </si>
  <si>
    <t>Optional Incentive #1 details</t>
  </si>
  <si>
    <r>
      <rPr>
        <b/>
        <sz val="11"/>
        <color theme="1"/>
        <rFont val="Calibri"/>
        <family val="2"/>
        <scheme val="minor"/>
      </rPr>
      <t>Total new and existing investments</t>
    </r>
    <r>
      <rPr>
        <sz val="11"/>
        <color theme="1"/>
        <rFont val="Calibri"/>
        <family val="2"/>
        <scheme val="minor"/>
      </rPr>
      <t xml:space="preserve"> (1) + (2) + (3)</t>
    </r>
  </si>
  <si>
    <t>Planned date of entry into operation</t>
  </si>
  <si>
    <t>Dead band range</t>
  </si>
  <si>
    <t>Dead band Δ</t>
  </si>
  <si>
    <t>#</t>
  </si>
  <si>
    <t>Allocation (%)*</t>
  </si>
  <si>
    <t>Description of main points raised by stakeholders and explanation of how they were taken into account in developing the performance plan</t>
  </si>
  <si>
    <t>Where applicable, decision to diverge from the STATFOR base forecast</t>
  </si>
  <si>
    <t>Topic of consultation</t>
  </si>
  <si>
    <t>Maximum financial advantages and disadvantages for the mandatory incentive scheme on capacity</t>
  </si>
  <si>
    <t>Where applicable, decision to modulate performance targets for the purpose of pivot values to be used for the mandatory incentive scheme on capacity</t>
  </si>
  <si>
    <t>Symmetric range ("dead band") for the purpose of the mandatory incentive scheme on capacity</t>
  </si>
  <si>
    <t>Establishment or modification of charging zones</t>
  </si>
  <si>
    <t>Establishment of determined costs included in the cost base for charges</t>
  </si>
  <si>
    <t>Where applicable, decision to apply the simplified charging scheme</t>
  </si>
  <si>
    <t>1.3.3 - Consultation of stakeholder groups on the performance plan</t>
  </si>
  <si>
    <t>1.3.2 - Specific consultation requirements of ANSPs and airspace users on the performance plan</t>
  </si>
  <si>
    <t>1.3.1 - Overall outcome of the consultation of stakeholders on the performance plan</t>
  </si>
  <si>
    <t>#6 - Other (specify)</t>
  </si>
  <si>
    <t>Specify how the conditions of Article 34(2) for the establishment of a simplified charging scheme are being met:</t>
  </si>
  <si>
    <t>6 - IMPLEMENTATION OF THE PERFORMANCE PLAN</t>
  </si>
  <si>
    <t>6.1 Monitoring of the implementation plan</t>
  </si>
  <si>
    <t>6.2 Non-compliance with targets during the reference period</t>
  </si>
  <si>
    <t>%</t>
  </si>
  <si>
    <t>Values for graph</t>
  </si>
  <si>
    <t>year</t>
  </si>
  <si>
    <t>Pivot</t>
  </si>
  <si>
    <t>Lower DB boundary</t>
  </si>
  <si>
    <t>Higher DB boundary</t>
  </si>
  <si>
    <t>Lower Bonus range boundary</t>
  </si>
  <si>
    <t>Higher Penalty range boundary</t>
  </si>
  <si>
    <t>Max pen</t>
  </si>
  <si>
    <t>Yaxismin</t>
  </si>
  <si>
    <t>Yaxismax</t>
  </si>
  <si>
    <t>Yaxislabel</t>
  </si>
  <si>
    <t>Penalty equation</t>
  </si>
  <si>
    <t>bonus equation</t>
  </si>
  <si>
    <t>Coordinates</t>
  </si>
  <si>
    <t>If the pivot values are different that the values in the NOP, explain rationale for the difference and method of calculation**</t>
  </si>
  <si>
    <t>Select</t>
  </si>
  <si>
    <t>a.1) The pivot value for year n IS the reference value from the November release of year n-1 of the NOP.</t>
  </si>
  <si>
    <t>5.2.1 - Capacity incentive scheme - Enroute</t>
  </si>
  <si>
    <t>5.2.1.1 Parameters for the calculation of financial advantages or disadvantages - Enroute</t>
  </si>
  <si>
    <t>a) The pivot value for year n is modulated in order to enable significant and unforeseen changes in traffic to be taken into account and is based on the principles explained below:**</t>
  </si>
  <si>
    <t>Performance Plan targets (mins of ATFM delay per flight)</t>
  </si>
  <si>
    <t>KPA:</t>
  </si>
  <si>
    <t>LowerDB coords</t>
  </si>
  <si>
    <t>UpperDB coords</t>
  </si>
  <si>
    <t>5.2.2 - Capacity incentive scheme - Terminal</t>
  </si>
  <si>
    <t>5.2.2.1 Parameters for the calculation of financial advantages or disadvantages - Terminal</t>
  </si>
  <si>
    <t>→ Dead band ←</t>
  </si>
  <si>
    <t>Indicate which of the principles below will be applied for the modulation of the pivot values for the whole RP3:</t>
  </si>
  <si>
    <t>Explain how the bonus and penalties are going to be apportioned between the different terminal charging zones and ANSPs providing services in each of them**</t>
  </si>
  <si>
    <t>ANNEX A. REPORTING TABLES &amp; ADDITIONAL INFORMATION (EN-ROUTE)</t>
  </si>
  <si>
    <t>ANNEX B. REPORTING TABLES &amp; ADDITIONAL INFORMATION (TERMINAL)</t>
  </si>
  <si>
    <t>Select traffic forecast</t>
  </si>
  <si>
    <t>Lower bound</t>
  </si>
  <si>
    <t>Upper bound</t>
  </si>
  <si>
    <t>Bonus/penalty</t>
  </si>
  <si>
    <t>7 - ANNEXES</t>
  </si>
  <si>
    <t>Signatories</t>
  </si>
  <si>
    <t>Performance plan details</t>
  </si>
  <si>
    <t>Date of issue</t>
  </si>
  <si>
    <t>Name, title and signature of representative</t>
  </si>
  <si>
    <t>State name</t>
  </si>
  <si>
    <t>ISO_CODE</t>
  </si>
  <si>
    <t>Country_Name</t>
  </si>
  <si>
    <t>ANA LUX</t>
  </si>
  <si>
    <t>ANS CR</t>
  </si>
  <si>
    <t>Austro Control</t>
  </si>
  <si>
    <t>BULATSA</t>
  </si>
  <si>
    <t>Croatia Control</t>
  </si>
  <si>
    <t>DCAC Cyprus</t>
  </si>
  <si>
    <t>DFS</t>
  </si>
  <si>
    <t>DSNA</t>
  </si>
  <si>
    <t>EANS</t>
  </si>
  <si>
    <t>ENAIRE</t>
  </si>
  <si>
    <t>ENAV</t>
  </si>
  <si>
    <t>HCAA</t>
  </si>
  <si>
    <t>LFV</t>
  </si>
  <si>
    <t>LGS</t>
  </si>
  <si>
    <t>LPS</t>
  </si>
  <si>
    <t>LVNL</t>
  </si>
  <si>
    <t>MATS</t>
  </si>
  <si>
    <t>NAV Portugal (Continental)</t>
  </si>
  <si>
    <t>NAVIAIR</t>
  </si>
  <si>
    <t>Oro Navigacija</t>
  </si>
  <si>
    <t>PANSA</t>
  </si>
  <si>
    <t>ROMATSA</t>
  </si>
  <si>
    <t>Skyguide</t>
  </si>
  <si>
    <t>Slovenia Control</t>
  </si>
  <si>
    <t>HU</t>
  </si>
  <si>
    <t>CY</t>
  </si>
  <si>
    <t>ES</t>
  </si>
  <si>
    <t>GR</t>
  </si>
  <si>
    <t>CZ</t>
  </si>
  <si>
    <t>FI</t>
  </si>
  <si>
    <t>skeyes</t>
  </si>
  <si>
    <t>BE</t>
  </si>
  <si>
    <t>NO</t>
  </si>
  <si>
    <t>AT</t>
  </si>
  <si>
    <t>BG</t>
  </si>
  <si>
    <t>HR</t>
  </si>
  <si>
    <t>DE</t>
  </si>
  <si>
    <t>FR</t>
  </si>
  <si>
    <t>EE</t>
  </si>
  <si>
    <t>IT</t>
  </si>
  <si>
    <t>IE</t>
  </si>
  <si>
    <t>SE</t>
  </si>
  <si>
    <t>LV</t>
  </si>
  <si>
    <t>SK</t>
  </si>
  <si>
    <t>NL</t>
  </si>
  <si>
    <t>MT</t>
  </si>
  <si>
    <t>GB</t>
  </si>
  <si>
    <t>PT</t>
  </si>
  <si>
    <t>DK</t>
  </si>
  <si>
    <t>LT</t>
  </si>
  <si>
    <t>PL</t>
  </si>
  <si>
    <t>RO</t>
  </si>
  <si>
    <t>CH</t>
  </si>
  <si>
    <t>SI</t>
  </si>
  <si>
    <t>Main_ANSP_Name</t>
  </si>
  <si>
    <t>Main_ANSP_Code</t>
  </si>
  <si>
    <t>LO_ANSP</t>
  </si>
  <si>
    <t>EBEL_ANSP</t>
  </si>
  <si>
    <t>LB_ANSP</t>
  </si>
  <si>
    <t>LD_ANSP</t>
  </si>
  <si>
    <t>LC_ANSP</t>
  </si>
  <si>
    <t>LK_ANSP</t>
  </si>
  <si>
    <t>EK_ANSP</t>
  </si>
  <si>
    <t>EE_ANSP</t>
  </si>
  <si>
    <t>EF_ANSP</t>
  </si>
  <si>
    <t>LF_ANSP</t>
  </si>
  <si>
    <t>ED_ANSP</t>
  </si>
  <si>
    <t>LG_ANSP</t>
  </si>
  <si>
    <t>HungaroControl</t>
  </si>
  <si>
    <t>LH_ANSP</t>
  </si>
  <si>
    <t>EI_ANSP</t>
  </si>
  <si>
    <t>LI_ANSP_ENAV</t>
  </si>
  <si>
    <t>EV_ANSP</t>
  </si>
  <si>
    <t>EY_ANSP</t>
  </si>
  <si>
    <t>LM_ANSP</t>
  </si>
  <si>
    <t>EH_ANSP</t>
  </si>
  <si>
    <t>EN_ANSP</t>
  </si>
  <si>
    <t>EP_ANSP</t>
  </si>
  <si>
    <t>LP_ANSP</t>
  </si>
  <si>
    <t>LR_ANSP</t>
  </si>
  <si>
    <t>LZ_ANSP</t>
  </si>
  <si>
    <t>LJ_ANSP</t>
  </si>
  <si>
    <t>LE_ANSP_AENA</t>
  </si>
  <si>
    <t>ES_ANSP_LFV</t>
  </si>
  <si>
    <t>LS_ANSP</t>
  </si>
  <si>
    <t>EG_ANSP</t>
  </si>
  <si>
    <t>LO</t>
  </si>
  <si>
    <t>EB</t>
  </si>
  <si>
    <t>LB</t>
  </si>
  <si>
    <t>LD</t>
  </si>
  <si>
    <t>LC</t>
  </si>
  <si>
    <t>LK</t>
  </si>
  <si>
    <t>EK</t>
  </si>
  <si>
    <t>EF</t>
  </si>
  <si>
    <t>LF</t>
  </si>
  <si>
    <t>ED</t>
  </si>
  <si>
    <t>LG</t>
  </si>
  <si>
    <t>LH</t>
  </si>
  <si>
    <t>EI</t>
  </si>
  <si>
    <t>LI</t>
  </si>
  <si>
    <t>EV</t>
  </si>
  <si>
    <t>EY</t>
  </si>
  <si>
    <t>LM</t>
  </si>
  <si>
    <t>EH</t>
  </si>
  <si>
    <t>EN</t>
  </si>
  <si>
    <t>EP</t>
  </si>
  <si>
    <t>LP</t>
  </si>
  <si>
    <t>LR</t>
  </si>
  <si>
    <t>LZ</t>
  </si>
  <si>
    <t>LJ</t>
  </si>
  <si>
    <t>LE</t>
  </si>
  <si>
    <t>GC</t>
  </si>
  <si>
    <t>LS</t>
  </si>
  <si>
    <t>EG</t>
  </si>
  <si>
    <t>Number of en-route charging zones</t>
  </si>
  <si>
    <t>Number of terminal charging zones</t>
  </si>
  <si>
    <t>ER_CZ_1</t>
  </si>
  <si>
    <t>Entity 3</t>
  </si>
  <si>
    <t>Entity 4</t>
  </si>
  <si>
    <t>Entity 5</t>
  </si>
  <si>
    <t>Entity 6</t>
  </si>
  <si>
    <t>Entity 7</t>
  </si>
  <si>
    <t>Entity 8</t>
  </si>
  <si>
    <t>Entity 9</t>
  </si>
  <si>
    <t>Entity 10</t>
  </si>
  <si>
    <t>En-route charging zone 1</t>
  </si>
  <si>
    <t>En-route charging zone 2</t>
  </si>
  <si>
    <t>En-route charging zone 3</t>
  </si>
  <si>
    <t>En-route charging zone 4</t>
  </si>
  <si>
    <t>En-route charging zone 5</t>
  </si>
  <si>
    <t>Terminal charging zone 1</t>
  </si>
  <si>
    <t>Terminal charging zone 2</t>
  </si>
  <si>
    <t>Terminal charging zone 3</t>
  </si>
  <si>
    <t>Terminal charging zone 4</t>
  </si>
  <si>
    <t>Terminal charging zone 5</t>
  </si>
  <si>
    <t>Terminal charging zone 6</t>
  </si>
  <si>
    <t>Terminal charging zone 7</t>
  </si>
  <si>
    <t>Terminal charging zone 8</t>
  </si>
  <si>
    <t>Terminal charging zone 9</t>
  </si>
  <si>
    <t>Terminal charging zone 10</t>
  </si>
  <si>
    <t>ICAO_CODE_1</t>
  </si>
  <si>
    <t>ICAO_CODE_2</t>
  </si>
  <si>
    <t>ER_CZ_2</t>
  </si>
  <si>
    <t>Terminal CZs Selector</t>
  </si>
  <si>
    <t>AIRPORT_CODE</t>
  </si>
  <si>
    <t>AIRPORT_NAME</t>
  </si>
  <si>
    <t>Category?</t>
  </si>
  <si>
    <t>Frankfurt</t>
  </si>
  <si>
    <t>Amsterdam</t>
  </si>
  <si>
    <t>Paris/Charles-De-Gaulle</t>
  </si>
  <si>
    <t>London/Heathrow</t>
  </si>
  <si>
    <t>Munich</t>
  </si>
  <si>
    <t>Madrid/Barajas</t>
  </si>
  <si>
    <t>Barcelona</t>
  </si>
  <si>
    <t>Rome/Fiumicino</t>
  </si>
  <si>
    <t>London/Gatwick</t>
  </si>
  <si>
    <t>Zurich</t>
  </si>
  <si>
    <t>Copenhagen/Kastrup</t>
  </si>
  <si>
    <t>Oslo/Gardermoen</t>
  </si>
  <si>
    <t>Vienna</t>
  </si>
  <si>
    <t>Stockholm/Arlanda</t>
  </si>
  <si>
    <t>Dublin</t>
  </si>
  <si>
    <t>Paris/Orly</t>
  </si>
  <si>
    <t>Brussels</t>
  </si>
  <si>
    <t>Dusseldorf</t>
  </si>
  <si>
    <t>Lisbon</t>
  </si>
  <si>
    <t>Athens</t>
  </si>
  <si>
    <t>Manchester</t>
  </si>
  <si>
    <t>London/Stansted</t>
  </si>
  <si>
    <t>Milan/Malpensa</t>
  </si>
  <si>
    <t xml:space="preserve">Helsinki-Vantaa     </t>
  </si>
  <si>
    <t>Warsaw/Okecie</t>
  </si>
  <si>
    <t>Berlin-Tegel</t>
  </si>
  <si>
    <t>Geneva</t>
  </si>
  <si>
    <t>Prague/Ruzyne</t>
  </si>
  <si>
    <t>Hamburg</t>
  </si>
  <si>
    <t>Nice</t>
  </si>
  <si>
    <t>Cologne/Bonn</t>
  </si>
  <si>
    <t>Malaga</t>
  </si>
  <si>
    <t>London/Luton</t>
  </si>
  <si>
    <t>Edinburgh</t>
  </si>
  <si>
    <t>Stuttgart</t>
  </si>
  <si>
    <t>Las Palmas</t>
  </si>
  <si>
    <t xml:space="preserve">Otopeni-Intl.       </t>
  </si>
  <si>
    <t>Budapest/Ferihegy</t>
  </si>
  <si>
    <t>Milan/Linate</t>
  </si>
  <si>
    <t>Lyon/Sartolas</t>
  </si>
  <si>
    <t>Birmingham</t>
  </si>
  <si>
    <t xml:space="preserve">Schoenefeld-Berlin  </t>
  </si>
  <si>
    <t>Marseille/Provence</t>
  </si>
  <si>
    <t>Toulouse/Blagnac</t>
  </si>
  <si>
    <t>LEAL</t>
  </si>
  <si>
    <t>Alicante</t>
  </si>
  <si>
    <t>Venice/Tessera</t>
  </si>
  <si>
    <t xml:space="preserve">Porto               </t>
  </si>
  <si>
    <t>Glasgow</t>
  </si>
  <si>
    <t>Bergamo/Orio Alserio</t>
  </si>
  <si>
    <t>Bergen/Flesland</t>
  </si>
  <si>
    <t xml:space="preserve">Riga Intl           </t>
  </si>
  <si>
    <t>Basle/Mulhouse</t>
  </si>
  <si>
    <t>London/City</t>
  </si>
  <si>
    <t xml:space="preserve">Napoli Capodichino  </t>
  </si>
  <si>
    <t>LEIB</t>
  </si>
  <si>
    <t>Ibiza</t>
  </si>
  <si>
    <t>Gotenborg/Landvetter</t>
  </si>
  <si>
    <t xml:space="preserve">Bologna             </t>
  </si>
  <si>
    <t>2016</t>
  </si>
  <si>
    <t>2017</t>
  </si>
  <si>
    <t>2018</t>
  </si>
  <si>
    <t># airports &gt;80,000 movements</t>
  </si>
  <si>
    <t># airports between 70,000 and 80,000</t>
  </si>
  <si>
    <t>Palma de Mallorca</t>
  </si>
  <si>
    <t>States, Main ANSP &amp; En-route Charging Zones</t>
  </si>
  <si>
    <t>ANSP(s)</t>
  </si>
  <si>
    <t>Number of charging zones affected by the simplified charging scheme</t>
  </si>
  <si>
    <t>All CZs Selector</t>
  </si>
  <si>
    <t>ER CZs Selector</t>
  </si>
  <si>
    <t>CZ Selector</t>
  </si>
  <si>
    <t>ER Selector</t>
  </si>
  <si>
    <t>All CZs_Selector</t>
  </si>
  <si>
    <t>Name of new major investment 2</t>
  </si>
  <si>
    <t>Name of new major investment 3</t>
  </si>
  <si>
    <t>Name of new major investment 4</t>
  </si>
  <si>
    <t>Name of new major investment 5</t>
  </si>
  <si>
    <t>Name of new major investment 6</t>
  </si>
  <si>
    <t>Name of new major investment 7</t>
  </si>
  <si>
    <t>Name of new major investment 8</t>
  </si>
  <si>
    <t>Name of new major investment 9</t>
  </si>
  <si>
    <t>Name of new major investment 10</t>
  </si>
  <si>
    <t>Name of new major investment 11</t>
  </si>
  <si>
    <t>Name of new major investment 12</t>
  </si>
  <si>
    <t>Name of new major investment 13</t>
  </si>
  <si>
    <t>Name of new major investment 14</t>
  </si>
  <si>
    <t>Name of new major investment 15</t>
  </si>
  <si>
    <t>Name of new major investment 16</t>
  </si>
  <si>
    <t>Name of new major investment 17</t>
  </si>
  <si>
    <t>Name of new major investment 18</t>
  </si>
  <si>
    <t>Name of new major investment 19</t>
  </si>
  <si>
    <t>Name of new major investment 20</t>
  </si>
  <si>
    <t>Name of new major investment 21</t>
  </si>
  <si>
    <t>Name of new major investment 22</t>
  </si>
  <si>
    <t>Name of new major investment 23</t>
  </si>
  <si>
    <t>Name of new major investment 24</t>
  </si>
  <si>
    <t>Name of new major investment 25</t>
  </si>
  <si>
    <t>Name of new major investment 26</t>
  </si>
  <si>
    <t>Name of new major investment 27</t>
  </si>
  <si>
    <t>Name of new major investment 28</t>
  </si>
  <si>
    <t>Name of new major investment 29</t>
  </si>
  <si>
    <t>Name of new major investment 30</t>
  </si>
  <si>
    <t>Name of new major investment 42</t>
  </si>
  <si>
    <t>Name of new major investment 31</t>
  </si>
  <si>
    <t>Name of new major investment 32</t>
  </si>
  <si>
    <t>Name of new major investment 33</t>
  </si>
  <si>
    <t>Name of new major investment 34</t>
  </si>
  <si>
    <t>Name of new major investment 35</t>
  </si>
  <si>
    <t>Name of new major investment 36</t>
  </si>
  <si>
    <t>Name of new major investment 37</t>
  </si>
  <si>
    <t>Name of new major investment 39</t>
  </si>
  <si>
    <t>Name of new major investment 40</t>
  </si>
  <si>
    <t>Name of new major investment 41</t>
  </si>
  <si>
    <t>Name of new major investment 43</t>
  </si>
  <si>
    <t>Name of new major investment 44</t>
  </si>
  <si>
    <t>Name of new major investment 45</t>
  </si>
  <si>
    <t>Name of new major investment 46</t>
  </si>
  <si>
    <t>Name of new major investment 47</t>
  </si>
  <si>
    <t>Name of new major investment 48</t>
  </si>
  <si>
    <t>Name of new major investment 49</t>
  </si>
  <si>
    <t>Name of new major investment 50</t>
  </si>
  <si>
    <t>Name of new major investment 38</t>
  </si>
  <si>
    <t>↑↑</t>
  </si>
  <si>
    <t>a) Safety national performance targets</t>
  </si>
  <si>
    <t>COUNTRY_FAB_Name</t>
  </si>
  <si>
    <t>2020</t>
  </si>
  <si>
    <t>a) National capacity performance targets</t>
  </si>
  <si>
    <t>ANSPs_Selector</t>
  </si>
  <si>
    <t>All ANSPs Selector</t>
  </si>
  <si>
    <t>Data for graphic - ER Capacity incentive</t>
  </si>
  <si>
    <t>Data for graphic - Terminal Capacity incentive</t>
  </si>
  <si>
    <t>Number CB arrangements where ANSPs from another State provide services in the State</t>
  </si>
  <si>
    <t>Terminal Charging zone 4</t>
  </si>
  <si>
    <t>Terminal Charging zone 5</t>
  </si>
  <si>
    <t>Terminal Charging zone 6</t>
  </si>
  <si>
    <t>Terminal Charging zone 7</t>
  </si>
  <si>
    <t>Terminal Charging zone 8</t>
  </si>
  <si>
    <t>Terminal Charging zone 9</t>
  </si>
  <si>
    <t>Terminal Charging zone 10</t>
  </si>
  <si>
    <t>2019 B</t>
  </si>
  <si>
    <t>2022 D</t>
  </si>
  <si>
    <t>2023 D</t>
  </si>
  <si>
    <t>2024 D</t>
  </si>
  <si>
    <t>YoY variation</t>
  </si>
  <si>
    <r>
      <t xml:space="preserve">Total </t>
    </r>
    <r>
      <rPr>
        <b/>
        <sz val="11"/>
        <color indexed="8"/>
        <rFont val="Calibri"/>
        <family val="2"/>
      </rPr>
      <t>en route</t>
    </r>
    <r>
      <rPr>
        <b/>
        <sz val="11"/>
        <rFont val="Calibri"/>
        <family val="2"/>
      </rPr>
      <t xml:space="preserve"> costs in real terms (in national currency at 2017 prices)</t>
    </r>
  </si>
  <si>
    <r>
      <t xml:space="preserve">Total </t>
    </r>
    <r>
      <rPr>
        <sz val="11"/>
        <color indexed="8"/>
        <rFont val="Calibri"/>
        <family val="2"/>
      </rPr>
      <t>en route</t>
    </r>
    <r>
      <rPr>
        <sz val="11"/>
        <rFont val="Calibri"/>
        <family val="2"/>
      </rPr>
      <t xml:space="preserve"> Service Units (TSU)</t>
    </r>
  </si>
  <si>
    <t>Real en route unit costs (in national currency at 2017 prices)</t>
  </si>
  <si>
    <t>FAB_Name</t>
  </si>
  <si>
    <t>EL</t>
  </si>
  <si>
    <t>Avinor</t>
  </si>
  <si>
    <t>CYATS</t>
  </si>
  <si>
    <t>HANSP</t>
  </si>
  <si>
    <t>LFV NUAC</t>
  </si>
  <si>
    <t>Hungarocontrol</t>
  </si>
  <si>
    <t>LPS SR</t>
  </si>
  <si>
    <t>SKYGUIDE</t>
  </si>
  <si>
    <t>NAV Portugal</t>
  </si>
  <si>
    <t>NATS NERL</t>
  </si>
  <si>
    <t>Safety_ANSP</t>
  </si>
  <si>
    <t>Danube FAB</t>
  </si>
  <si>
    <t>South West FAB</t>
  </si>
  <si>
    <t>ER_CZ</t>
  </si>
  <si>
    <t>2021L</t>
  </si>
  <si>
    <t>2022L</t>
  </si>
  <si>
    <t>2023L</t>
  </si>
  <si>
    <t>2024L</t>
  </si>
  <si>
    <t>2021B</t>
  </si>
  <si>
    <t>2021H</t>
  </si>
  <si>
    <t>2022B</t>
  </si>
  <si>
    <t>2022H</t>
  </si>
  <si>
    <t>2023B</t>
  </si>
  <si>
    <t>2023H</t>
  </si>
  <si>
    <t>2024B</t>
  </si>
  <si>
    <t>2024H</t>
  </si>
  <si>
    <t>TCZ_Name</t>
  </si>
  <si>
    <t xml:space="preserve">Salzburg            </t>
  </si>
  <si>
    <t xml:space="preserve">Graz                </t>
  </si>
  <si>
    <t xml:space="preserve">Innsbruck           </t>
  </si>
  <si>
    <t xml:space="preserve">Linz                </t>
  </si>
  <si>
    <t xml:space="preserve">Klagenfurt          </t>
  </si>
  <si>
    <t>APT_CODE</t>
  </si>
  <si>
    <t>APT_Name</t>
  </si>
  <si>
    <t>TCZ_Code</t>
  </si>
  <si>
    <t>Belgium EBBR</t>
  </si>
  <si>
    <t>Belgium EBCI</t>
  </si>
  <si>
    <t>Belgium EBLG</t>
  </si>
  <si>
    <t>Belgium EBAW</t>
  </si>
  <si>
    <t>Belgium EBOS</t>
  </si>
  <si>
    <t>Brno Turany</t>
  </si>
  <si>
    <t>Ostrava</t>
  </si>
  <si>
    <t>Karlovy Vary</t>
  </si>
  <si>
    <t>Copenhagen</t>
  </si>
  <si>
    <t>Tallin</t>
  </si>
  <si>
    <t>Tartu</t>
  </si>
  <si>
    <t>France - Zone 1</t>
  </si>
  <si>
    <t>France - Zone 2</t>
  </si>
  <si>
    <t>Lyon</t>
  </si>
  <si>
    <t>Bale/Mulhouse</t>
  </si>
  <si>
    <t>Bordeaux/Merignac</t>
  </si>
  <si>
    <t>Paris/Le Bourget</t>
  </si>
  <si>
    <t xml:space="preserve">Nantes              </t>
  </si>
  <si>
    <t>Montpellier/Méditerranée</t>
  </si>
  <si>
    <t>Strasbourg/Entzheim</t>
  </si>
  <si>
    <t>Beauvais/Tillé</t>
  </si>
  <si>
    <t>Lille/Lesquin</t>
  </si>
  <si>
    <t>Rennes/St-Jacques</t>
  </si>
  <si>
    <t>Ajaccio/Napoléon-Bonaparte</t>
  </si>
  <si>
    <t>Clermont-Ferrand/Auvergne</t>
  </si>
  <si>
    <t>Brest/Bretagne</t>
  </si>
  <si>
    <t>Cannes/Mandelieu</t>
  </si>
  <si>
    <t>Bastia/Poretta</t>
  </si>
  <si>
    <t>Biarritz/Bayonne-Anglet</t>
  </si>
  <si>
    <t>Pau/Pyrénées</t>
  </si>
  <si>
    <t>Toussus/Le-Noble</t>
  </si>
  <si>
    <t>Hyères/Le-Palyvestre</t>
  </si>
  <si>
    <t>Figari/Sud-Corse</t>
  </si>
  <si>
    <t>Lyon/Bron</t>
  </si>
  <si>
    <t>Perpignan/Rivesaltes</t>
  </si>
  <si>
    <t>Limoges/Bellegarde</t>
  </si>
  <si>
    <t>Lorient/Lann-Bihoué</t>
  </si>
  <si>
    <t>Tarbes-Lourdes/Pyrénées</t>
  </si>
  <si>
    <t>Chambéry/Aix-les-Bains</t>
  </si>
  <si>
    <t>La-Rochelle/Ile de Ré</t>
  </si>
  <si>
    <t>Metz-Nancy/Lorraine</t>
  </si>
  <si>
    <t>Grenoble/Isère</t>
  </si>
  <si>
    <t>Rodez/Marcillac</t>
  </si>
  <si>
    <t>Calvi/Sainte-Catherine</t>
  </si>
  <si>
    <t>Avignon/Caumont</t>
  </si>
  <si>
    <t>Carcassonne/Salvaza</t>
  </si>
  <si>
    <t>Poitiers/Biard</t>
  </si>
  <si>
    <t>Béziers/Vias</t>
  </si>
  <si>
    <t>Caen/Carpiquet</t>
  </si>
  <si>
    <t>Agen/La-Garenne</t>
  </si>
  <si>
    <t>Bergerac/Roumanière</t>
  </si>
  <si>
    <t>Istres/Le-Tubé</t>
  </si>
  <si>
    <t>Dinard/Pleurtuit-Saint-Malo</t>
  </si>
  <si>
    <t>Deauville/Normandie</t>
  </si>
  <si>
    <t>Nîmes/Garons</t>
  </si>
  <si>
    <t>Annecy/Meythet</t>
  </si>
  <si>
    <t>Dole/Tavaux</t>
  </si>
  <si>
    <t>Quimper/Pluguffan</t>
  </si>
  <si>
    <t>Châlons/Vatry</t>
  </si>
  <si>
    <t>Saint-Etienne/Bouthéon</t>
  </si>
  <si>
    <t>Brive/Souillac</t>
  </si>
  <si>
    <t>Tours/Val-de-Loire</t>
  </si>
  <si>
    <t>Saint-Nazaire/Montoir</t>
  </si>
  <si>
    <t>Châteauroux/Déols</t>
  </si>
  <si>
    <t>Albert/Bray</t>
  </si>
  <si>
    <t>München</t>
  </si>
  <si>
    <t>Düsseldorf</t>
  </si>
  <si>
    <t>Köln-Bonn</t>
  </si>
  <si>
    <t>Berlin Schönefeld</t>
  </si>
  <si>
    <t>Hannover</t>
  </si>
  <si>
    <t>Leipzig</t>
  </si>
  <si>
    <t>Nürnberg</t>
  </si>
  <si>
    <t>Bremen</t>
  </si>
  <si>
    <t>Dresden</t>
  </si>
  <si>
    <t>Münster-Osnabrück</t>
  </si>
  <si>
    <t>Saarbrücken</t>
  </si>
  <si>
    <t>Erfurt</t>
  </si>
  <si>
    <t>Budapest</t>
  </si>
  <si>
    <t>EICK</t>
  </si>
  <si>
    <t>Cork</t>
  </si>
  <si>
    <t>EINN</t>
  </si>
  <si>
    <t>Shannon</t>
  </si>
  <si>
    <t>Fiumicino</t>
  </si>
  <si>
    <t>Malpensa</t>
  </si>
  <si>
    <t>Linate</t>
  </si>
  <si>
    <t>Venice Tessera</t>
  </si>
  <si>
    <t>Orio Al Serio</t>
  </si>
  <si>
    <t>Riga</t>
  </si>
  <si>
    <t>Liepaya</t>
  </si>
  <si>
    <t>Ventstpils</t>
  </si>
  <si>
    <t>Malta/Luqa</t>
  </si>
  <si>
    <t>Schiphol</t>
  </si>
  <si>
    <t>Rotterdam</t>
  </si>
  <si>
    <t>Eelde</t>
  </si>
  <si>
    <t>Beek</t>
  </si>
  <si>
    <t xml:space="preserve">Stavanger/Sola      </t>
  </si>
  <si>
    <t xml:space="preserve">Trondheim/Vaernes   </t>
  </si>
  <si>
    <t>Poland - EPWA</t>
  </si>
  <si>
    <t xml:space="preserve">Warsaw </t>
  </si>
  <si>
    <t>Poland - Others</t>
  </si>
  <si>
    <t xml:space="preserve">Krakow </t>
  </si>
  <si>
    <t xml:space="preserve">Gdansk </t>
  </si>
  <si>
    <t xml:space="preserve">Katowice </t>
  </si>
  <si>
    <t xml:space="preserve">Wroclaw Airport </t>
  </si>
  <si>
    <t>Poznan</t>
  </si>
  <si>
    <t>EPRZ</t>
  </si>
  <si>
    <t xml:space="preserve">Rzeszow </t>
  </si>
  <si>
    <t>Szczecin</t>
  </si>
  <si>
    <t>Bydgoszcz</t>
  </si>
  <si>
    <t>Modlin</t>
  </si>
  <si>
    <t>Lodz</t>
  </si>
  <si>
    <t>Lublin / Świdnik</t>
  </si>
  <si>
    <t>Zielona Gora</t>
  </si>
  <si>
    <t>EPRA</t>
  </si>
  <si>
    <t>Radom</t>
  </si>
  <si>
    <t>EPSY</t>
  </si>
  <si>
    <t>Olsztyn-Mazury</t>
  </si>
  <si>
    <t>Porto</t>
  </si>
  <si>
    <t>Faro</t>
  </si>
  <si>
    <t>Madeira</t>
  </si>
  <si>
    <t>Ponta Delgada</t>
  </si>
  <si>
    <t>Horta</t>
  </si>
  <si>
    <t>Santa Maria</t>
  </si>
  <si>
    <t>Porto Santo</t>
  </si>
  <si>
    <t>Flores</t>
  </si>
  <si>
    <t>LPCS</t>
  </si>
  <si>
    <t>Cascais</t>
  </si>
  <si>
    <t>Bucharest HENRI COANDA</t>
  </si>
  <si>
    <t>Bucharest AUREL VLAICU</t>
  </si>
  <si>
    <t>Bratislava</t>
  </si>
  <si>
    <t>Palma De Mallorca</t>
  </si>
  <si>
    <t>UK - Zone B</t>
  </si>
  <si>
    <t>Heathrow</t>
  </si>
  <si>
    <t>Gatwick</t>
  </si>
  <si>
    <t>Stansted</t>
  </si>
  <si>
    <t>London Luton</t>
  </si>
  <si>
    <t>London City</t>
  </si>
  <si>
    <t>UK - Zone C</t>
  </si>
  <si>
    <t>N/A</t>
  </si>
  <si>
    <t>State's RP3 Airports</t>
  </si>
  <si>
    <t>Safety policy and objectives</t>
  </si>
  <si>
    <t>Safety risk management</t>
  </si>
  <si>
    <t>Safety assurance</t>
  </si>
  <si>
    <t>Safety promotion</t>
  </si>
  <si>
    <t>Safety culture</t>
  </si>
  <si>
    <t>b) What are the main assumptions used to assess the interdependencies between safety and other KPAs?</t>
  </si>
  <si>
    <t xml:space="preserve">c) What metrics, other than those indicators described in the Regulation, are you monitoring during RP3 to ensure targets in the KPAs of capacity , environment, and cost-efficiency are not degrading safety? </t>
  </si>
  <si>
    <t>The worksheets in the Excel file replicate the said structure and the tabs for main sections have been highlighted in black, while subsections are in light brown as shown below:</t>
  </si>
  <si>
    <t>1.6 FAB PROCESS</t>
  </si>
  <si>
    <t>1.7 SIMPLIFIED CHARGING SCHEME</t>
  </si>
  <si>
    <t>4 CROSS-BORDER INITIATIVES AND SESAR IMPLEMENTATION</t>
  </si>
  <si>
    <t>4.2 DEPLOYMENT OF SESAR COMMON PROJECT</t>
  </si>
  <si>
    <t>5 TRAFFIC RISK SHARING ARRANGEMENTS AND INCENTIVE SCHEMES</t>
  </si>
  <si>
    <t>5.1 TRAFFIC RISK SHARING PARAMETERS</t>
  </si>
  <si>
    <t>5.2 CAPACITY INCENTIVE SCHEMES</t>
  </si>
  <si>
    <t>5.2 - Capacity incentive schemes</t>
  </si>
  <si>
    <t>5.2.1 Capacity incentive scheme - Enroute</t>
  </si>
  <si>
    <t>5.2.2 Capacity incentive scheme - Terminal</t>
  </si>
  <si>
    <t>5.3 OPTIONAL INCENTIVES</t>
  </si>
  <si>
    <t>6 IMPLEMENTATION OF THE PERFORMANCE PLAN</t>
  </si>
  <si>
    <t>7 ANNEXES</t>
  </si>
  <si>
    <t>ANNEX C. CONSULTATION</t>
  </si>
  <si>
    <t>6.1 MONITORING OF THE IMPLEMENTATION PLAN</t>
  </si>
  <si>
    <t>6.2 NON-COMPLIANCE WITH TARGETS DURING THE REFERENCE PERIOD</t>
  </si>
  <si>
    <t>TABLE OF CONTENT</t>
  </si>
  <si>
    <t>Forecasts in this sheet</t>
  </si>
  <si>
    <t>Not applicable</t>
  </si>
  <si>
    <t>Optional Incentive #2</t>
  </si>
  <si>
    <t>Optional Incentive #3</t>
  </si>
  <si>
    <t>Optional Incentive #4</t>
  </si>
  <si>
    <t>Optional Incentive #5</t>
  </si>
  <si>
    <t>Optional Incentive #6</t>
  </si>
  <si>
    <t>Optional Incentive #7</t>
  </si>
  <si>
    <t>Optional Incentive #8</t>
  </si>
  <si>
    <t>Optional Incentive #9</t>
  </si>
  <si>
    <t>Optional Incentive #10</t>
  </si>
  <si>
    <t>Select KPA</t>
  </si>
  <si>
    <t>National targets</t>
  </si>
  <si>
    <t>LO_TCZ</t>
  </si>
  <si>
    <t>EB_TCZ_EBAW</t>
  </si>
  <si>
    <t>EB_TCZ_EBBR</t>
  </si>
  <si>
    <t>EB_TCZ_EBCI</t>
  </si>
  <si>
    <t>EB_TCZ_EBLG</t>
  </si>
  <si>
    <t>EB_TCZ_EBOS</t>
  </si>
  <si>
    <t>LB_TCZ</t>
  </si>
  <si>
    <t>LC_TCZ</t>
  </si>
  <si>
    <t>LD_TCZ</t>
  </si>
  <si>
    <t>LK_TCZ</t>
  </si>
  <si>
    <t>EK_TCZ</t>
  </si>
  <si>
    <t>EE_TCZ</t>
  </si>
  <si>
    <t>EF_TCZ</t>
  </si>
  <si>
    <t>LF_TCZ_1</t>
  </si>
  <si>
    <t>LF_TCZ_2</t>
  </si>
  <si>
    <t>ED_TCZ</t>
  </si>
  <si>
    <t>LG_TCZ</t>
  </si>
  <si>
    <t>LH_TCZ</t>
  </si>
  <si>
    <t>EI_TCZ</t>
  </si>
  <si>
    <t>LI_TCZ_1</t>
  </si>
  <si>
    <t>LI_TCZ_2</t>
  </si>
  <si>
    <t>EV_TCZ</t>
  </si>
  <si>
    <t>LP_TCZ</t>
  </si>
  <si>
    <t>EY_TCZ</t>
  </si>
  <si>
    <t>EL_TCZ</t>
  </si>
  <si>
    <t>LM_TCZ</t>
  </si>
  <si>
    <t>EH_TCZ</t>
  </si>
  <si>
    <t>EN_TCZ</t>
  </si>
  <si>
    <t>LR_TCZ</t>
  </si>
  <si>
    <t>LZ_TCZ</t>
  </si>
  <si>
    <t>LJ_TCZ</t>
  </si>
  <si>
    <t>LE_TCZ</t>
  </si>
  <si>
    <t>ES_TCZ_A</t>
  </si>
  <si>
    <t>LS_TCZ</t>
  </si>
  <si>
    <t>EG_TCZ_B</t>
  </si>
  <si>
    <t>EG_TCZ_C</t>
  </si>
  <si>
    <t>% loss to be recovered</t>
  </si>
  <si>
    <t>Max bonus (≤2%)</t>
  </si>
  <si>
    <t>Max penalty (≥ Max bonus)</t>
  </si>
  <si>
    <t>Version</t>
  </si>
  <si>
    <t>1.1 The situation</t>
  </si>
  <si>
    <t>Number CB arrangements where ANSPs provide services in an other State</t>
  </si>
  <si>
    <t>Status of the Performance Plan</t>
  </si>
  <si>
    <t>Date of adoption of Draft Performance Plan</t>
  </si>
  <si>
    <t>Date of adoption of Final Performance Plan</t>
  </si>
  <si>
    <t>Terminal service units (thousands)</t>
  </si>
  <si>
    <t>En route traffic forecast</t>
  </si>
  <si>
    <t>En route service units (thousands)</t>
  </si>
  <si>
    <t>1.2.1 - En route</t>
  </si>
  <si>
    <t>En route Charging zone 1</t>
  </si>
  <si>
    <t>En route Charging zone 2</t>
  </si>
  <si>
    <t>En route Charging zone 3</t>
  </si>
  <si>
    <t>En route Charging zone 4</t>
  </si>
  <si>
    <t>En route Charging zone 5</t>
  </si>
  <si>
    <t>IFR movements (yearly variation in %)</t>
  </si>
  <si>
    <t>En route service units (yearly variation in %)</t>
  </si>
  <si>
    <t>Terminal service units (yearly variation in %)</t>
  </si>
  <si>
    <t>Reference to the agreement of the European Commission</t>
  </si>
  <si>
    <t>1.7 - Establishment and application of a simplified charging scheme</t>
  </si>
  <si>
    <t>Is the State intending to establish and apply a simplified charging scheme for any charging zone/ANSP?</t>
  </si>
  <si>
    <t>NOTE: Section 1.3 (Stakeholder Consultation) should include details on the consultation with airspace users' representatives and ANSPs on the intention to establish and apply a simplified charging scheme.</t>
  </si>
  <si>
    <t>Value of the assets allocated to ANS in the scope of the PP</t>
  </si>
  <si>
    <t>* The total % enroute+terminal should be equal to 100%.</t>
  </si>
  <si>
    <t>Description of the asset</t>
  </si>
  <si>
    <t>Joint investment / partnership</t>
  </si>
  <si>
    <t>If investment in ATM system, type?</t>
  </si>
  <si>
    <t>Number of additional KPIs</t>
  </si>
  <si>
    <t>Description and explanation of how this additional KPI and targets support the achievement of the EU and local performance targets</t>
  </si>
  <si>
    <t>a) National environment performance targets</t>
  </si>
  <si>
    <t>4.3 - Change management</t>
  </si>
  <si>
    <t xml:space="preserve">Change management practices and transition plans for the entry into service of major airspace changes or for ATM system improvements, aimed at minimising any negative impact on the network performance </t>
  </si>
  <si>
    <t>Performance plan status</t>
  </si>
  <si>
    <t>Select performance plan status</t>
  </si>
  <si>
    <t>Date</t>
  </si>
  <si>
    <t>Reason for change</t>
  </si>
  <si>
    <t>Document change record</t>
  </si>
  <si>
    <t>3.4.1 - Cost efficiency KPI #1: Determined unit cost (DUC) for en route ANS</t>
  </si>
  <si>
    <t>2.1.1 - Summary of investments</t>
  </si>
  <si>
    <t>2.1.2 - Detail of new major investments</t>
  </si>
  <si>
    <t>2.1.3 - Other new and existing investments</t>
  </si>
  <si>
    <t>2.2.1 - Summary of investments</t>
  </si>
  <si>
    <t>2.2.2 - Detail of new major investments</t>
  </si>
  <si>
    <t>2.2.3 - Other new and existing investments</t>
  </si>
  <si>
    <t>2.3.1 - Summary of investments</t>
  </si>
  <si>
    <t>2.3.2 - Detail of new major investments</t>
  </si>
  <si>
    <t>2.3.3 - Other new and existing investments</t>
  </si>
  <si>
    <t>2.4.1 - Summary of investments</t>
  </si>
  <si>
    <t>2.4.2 - Detail of new major investments</t>
  </si>
  <si>
    <t>2.4.3 - Other new and existing investments</t>
  </si>
  <si>
    <t>2.5.2 - Detail of new major investments</t>
  </si>
  <si>
    <t>2.5.3 - Other new and existing investments</t>
  </si>
  <si>
    <t>2.5.1 - Summary of investments</t>
  </si>
  <si>
    <t>2.6.1 - Summary of investments</t>
  </si>
  <si>
    <t>2.6.2 - Detail of new major investments</t>
  </si>
  <si>
    <t>2.6.3 - Other new and existing investments</t>
  </si>
  <si>
    <t>2.7.1 - Summary of investments</t>
  </si>
  <si>
    <t>2.7.2 - Detail of new major investments</t>
  </si>
  <si>
    <t>2.7.3 - Other new and existing investments</t>
  </si>
  <si>
    <t>2.8.3 - Other new and existing investments</t>
  </si>
  <si>
    <t>2.8.2 - Detail of new major investments</t>
  </si>
  <si>
    <t>2.8.1 - Summary of investments</t>
  </si>
  <si>
    <t>2.9.3 - Other new and existing investments</t>
  </si>
  <si>
    <t>2.9.2 - Detail of new major investments</t>
  </si>
  <si>
    <t>2.9.1 - Summary of investments</t>
  </si>
  <si>
    <t>2.10.3 - Other new and existing investments</t>
  </si>
  <si>
    <t>2.10.2 - Detail of new major investments</t>
  </si>
  <si>
    <t>2.10.1 - Summary of investments</t>
  </si>
  <si>
    <t>Enroute Traffic Forecast Selector</t>
  </si>
  <si>
    <t>Terminal Traffic forecast selector</t>
  </si>
  <si>
    <t>=OFFSET('Dynamic lists'!$f$5;;;'Dynamic lists'!$g$5)</t>
  </si>
  <si>
    <t>=OFFSET('Dynamic lists'!$l$5;;;'Dynamic lists'!$n$5)</t>
  </si>
  <si>
    <t>=OFFSET('Dynamic lists'!$p$5;;;'Dynamic lists'!$q$5)</t>
  </si>
  <si>
    <t>=OFFSET('Dynamic lists'!$s$5;;;'Dynamic lists'!$t$5)</t>
  </si>
  <si>
    <t>=OFFSET('Dynamic lists'!$v$5;;;'Dynamic lists'!$w$5)</t>
  </si>
  <si>
    <t>3.1 - Safety targets</t>
  </si>
  <si>
    <t>3.1.1 - Safety KPI #1: Level of Effectiveness of Safety Management achieved by ANSPs</t>
  </si>
  <si>
    <t>SECTION 3.1: SAFETY KPA</t>
  </si>
  <si>
    <t>SECTION 3.2: ENVIRONMENT KPA</t>
  </si>
  <si>
    <t>3.2 - Environment targets</t>
  </si>
  <si>
    <t>3.2.1 - Environment KPI #1: Horizontal en route flight efficiency (KEA)</t>
  </si>
  <si>
    <t>a) Environment national performance targets</t>
  </si>
  <si>
    <t>SECTION 3.3: CAPACITY KPA</t>
  </si>
  <si>
    <t>3.3 - Capacity targets</t>
  </si>
  <si>
    <t>3.3.1 - Capacity KPI #1: En route ATFM delay per flight</t>
  </si>
  <si>
    <t>3.3.2 - Capacity KPI #2: Terminal and airport ANS ATFM arrival delay per flight</t>
  </si>
  <si>
    <t>SECTION 3.4: COST-EFFICIENCY KPA</t>
  </si>
  <si>
    <t>3.4 - Cost efficiency targets</t>
  </si>
  <si>
    <t>En route charging zone</t>
  </si>
  <si>
    <t>Baseline 2019</t>
  </si>
  <si>
    <t>National currency</t>
  </si>
  <si>
    <t>3.4.2 - Cost efficiency KPI #2: Determined unit cost (DUC) for terminal ANS</t>
  </si>
  <si>
    <t>Terminal charging zone</t>
  </si>
  <si>
    <t>&lt;Insert name of additional KPI&gt;</t>
  </si>
  <si>
    <t>Related KPA</t>
  </si>
  <si>
    <t>3.5 - Additional KPIs / Targets</t>
  </si>
  <si>
    <r>
      <t xml:space="preserve">Total </t>
    </r>
    <r>
      <rPr>
        <sz val="11"/>
        <color indexed="8"/>
        <rFont val="Calibri"/>
        <family val="2"/>
      </rPr>
      <t>en route</t>
    </r>
    <r>
      <rPr>
        <sz val="11"/>
        <rFont val="Calibri"/>
        <family val="2"/>
      </rPr>
      <t xml:space="preserve"> costs in nominal terms (in national currency)</t>
    </r>
  </si>
  <si>
    <r>
      <t xml:space="preserve">Real en route unit costs (in EUR2017) </t>
    </r>
    <r>
      <rPr>
        <b/>
        <vertAlign val="superscript"/>
        <sz val="11"/>
        <rFont val="Calibri"/>
        <family val="2"/>
      </rPr>
      <t>1</t>
    </r>
  </si>
  <si>
    <r>
      <rPr>
        <vertAlign val="superscript"/>
        <sz val="11"/>
        <rFont val="Calibri"/>
        <family val="2"/>
        <scheme val="minor"/>
      </rPr>
      <t>1</t>
    </r>
    <r>
      <rPr>
        <sz val="11"/>
        <rFont val="Calibri"/>
        <family val="2"/>
        <scheme val="minor"/>
      </rPr>
      <t xml:space="preserve"> Average exchange rate 2017 (1 EUR=)</t>
    </r>
  </si>
  <si>
    <t>Name of the CZ</t>
  </si>
  <si>
    <t>Total terminal costs in nominal terms (in national currency)</t>
  </si>
  <si>
    <t>Total terminal costs in real terms (in national currency at 2017 prices)</t>
  </si>
  <si>
    <t>Total terminal Service Units (TNSU)</t>
  </si>
  <si>
    <t>Real terminal unit costs (in national currency at 2017 prices)</t>
  </si>
  <si>
    <r>
      <t xml:space="preserve">Real terminal unit costs (in EUR2017) </t>
    </r>
    <r>
      <rPr>
        <b/>
        <vertAlign val="superscript"/>
        <sz val="11"/>
        <rFont val="Calibri"/>
        <family val="2"/>
      </rPr>
      <t>1</t>
    </r>
  </si>
  <si>
    <t>Related KPA:</t>
  </si>
  <si>
    <t>2020D</t>
  </si>
  <si>
    <t>2021D</t>
  </si>
  <si>
    <t>2022D</t>
  </si>
  <si>
    <t>2023D</t>
  </si>
  <si>
    <t>2024D</t>
  </si>
  <si>
    <t>Total pensionable payroll to which this scheme applies</t>
  </si>
  <si>
    <t>Employer % contribution rate to this scheme</t>
  </si>
  <si>
    <t>Total pension costs in respect of this scheme</t>
  </si>
  <si>
    <t>Number of employees the employer contributes for in this scheme</t>
  </si>
  <si>
    <t>- in respect of regular pension costs</t>
  </si>
  <si>
    <t>- in respect of non-recurring deficit repair</t>
  </si>
  <si>
    <t>- reported as staff costs (in reporting tables)</t>
  </si>
  <si>
    <t>- not reported as staff costs (in reporting tables): please use comment box</t>
  </si>
  <si>
    <t>Actuarial assumptions</t>
  </si>
  <si>
    <t>% discount rate</t>
  </si>
  <si>
    <t>% projected increase in benefits</t>
  </si>
  <si>
    <t>% annual increase in salaries</t>
  </si>
  <si>
    <t>% expected return on plan assets</t>
  </si>
  <si>
    <t xml:space="preserve">Net funding surplus / deficit  </t>
  </si>
  <si>
    <t>Is the occupational "Defined benefits" pension scheme funded?</t>
  </si>
  <si>
    <t>Does the ANSP assume liability for meeting future obligations for the occupational "Defined benefits" scheme?</t>
  </si>
  <si>
    <t>Where, in the Reporting Tables, some occupational "defined benefits" costs (e.g. interest expense related to pensions) are reported in other cost item(s) than staff costs, the cost item(s) should be indicated here below along with corresponding explanations.</t>
  </si>
  <si>
    <t>Select number of loans</t>
  </si>
  <si>
    <t>Interest rate assumptions for loans financing the provision of air navigation services
(Amounts in nominal terms in '000 national currency)</t>
  </si>
  <si>
    <t>Interest rate %</t>
  </si>
  <si>
    <t>Loan #1</t>
  </si>
  <si>
    <t>Interest amount</t>
  </si>
  <si>
    <t>Loan #2</t>
  </si>
  <si>
    <t>Loan #3</t>
  </si>
  <si>
    <t>Loan #4</t>
  </si>
  <si>
    <t>Loan #5</t>
  </si>
  <si>
    <t>Loan #6</t>
  </si>
  <si>
    <t>Loan #7</t>
  </si>
  <si>
    <t>Loan #8</t>
  </si>
  <si>
    <t>Loan #9</t>
  </si>
  <si>
    <t>Loan #10</t>
  </si>
  <si>
    <t>Loan #11</t>
  </si>
  <si>
    <t>Loan #12</t>
  </si>
  <si>
    <t>Loan #13</t>
  </si>
  <si>
    <t>Loan #14</t>
  </si>
  <si>
    <t>Loan #15</t>
  </si>
  <si>
    <t>Loan #16</t>
  </si>
  <si>
    <t>Loan #17</t>
  </si>
  <si>
    <t>Loan #18</t>
  </si>
  <si>
    <t>Loan #19</t>
  </si>
  <si>
    <t>Loan #20</t>
  </si>
  <si>
    <t>Other loans</t>
  </si>
  <si>
    <t>Average weighted interest rate %</t>
  </si>
  <si>
    <t>Total loans</t>
  </si>
  <si>
    <t>3.4.3 - Pension assumptions</t>
  </si>
  <si>
    <t>3.4.4 - Interest rate assumptions for loans financing the provision of air navigation services</t>
  </si>
  <si>
    <t>Actual</t>
  </si>
  <si>
    <t>Planning</t>
  </si>
  <si>
    <t>Number of additional ATCOs in OPS planned to start working in the OPS room (FTEs)</t>
  </si>
  <si>
    <t>Number of  ATCOs in OPS planned to be operational at year-end (FTEs)</t>
  </si>
  <si>
    <t>ACC_Code</t>
  </si>
  <si>
    <t>ACC_Name</t>
  </si>
  <si>
    <t>ACCs</t>
  </si>
  <si>
    <t>Dummy</t>
  </si>
  <si>
    <t>3.4.5 - Restructuring costs</t>
  </si>
  <si>
    <t>3.4.5.1 Restructuring costs from previous reference periods to be recovered in RP3</t>
  </si>
  <si>
    <t>Restructuring costs from previous reference periods approved by the European Commission?</t>
  </si>
  <si>
    <t>If yes, number of charging zones concerned</t>
  </si>
  <si>
    <t>Restructuring costs  from previous reference periods to be recovered in RP3
(nominal terms in ‘000 national currency)</t>
  </si>
  <si>
    <t>Restructuring costs recovery plan from previous RPs</t>
  </si>
  <si>
    <t>3.4.5.2 Restructuring costs planned for RP3</t>
  </si>
  <si>
    <t>Restructuring costs foreseen for RP3?</t>
  </si>
  <si>
    <t>Number of restructuring measures</t>
  </si>
  <si>
    <t>Measure #1</t>
  </si>
  <si>
    <t>Description and justification of the restructuring measure</t>
  </si>
  <si>
    <t>Demonstration that the restructuring measure will deliver a net financial benefit to airspace users at the latest in the next reference period</t>
  </si>
  <si>
    <t>Measure #2</t>
  </si>
  <si>
    <t>Measure #3</t>
  </si>
  <si>
    <t>Measure #4</t>
  </si>
  <si>
    <t>Measure #5</t>
  </si>
  <si>
    <t>Measure #6</t>
  </si>
  <si>
    <t>Measure #7</t>
  </si>
  <si>
    <t>Measure #8</t>
  </si>
  <si>
    <t>Measure #9</t>
  </si>
  <si>
    <t>Measure #10</t>
  </si>
  <si>
    <t>Total restructuring costs</t>
  </si>
  <si>
    <t>a) Overall description of the restructuring measures planned for RP3</t>
  </si>
  <si>
    <t>Restructuring costs planned for RP3 by nature and by charging zone
(nominal terms in ‘000 national currency)</t>
  </si>
  <si>
    <t>Staff</t>
  </si>
  <si>
    <t xml:space="preserve">         of which, pension costs</t>
  </si>
  <si>
    <t>Other operating costs</t>
  </si>
  <si>
    <t>Depreciation</t>
  </si>
  <si>
    <t>Cost of capital</t>
  </si>
  <si>
    <t>Exceptional items</t>
  </si>
  <si>
    <t>Applicable</t>
  </si>
  <si>
    <t>Where applicable, values of the modulated parameters for the traffic risk sharing mechanism</t>
  </si>
  <si>
    <t>Results of consultation</t>
  </si>
  <si>
    <t>Dates of main meetings / correspondence</t>
  </si>
  <si>
    <t>The proposed template for Performance Plans was developed to facilitate the work of Member States and NSAs in their tasks to draw up and adopt performance plans and targets for RP3. It follows the structure provided for in Annex II of Commission Implementing Regulation (EU) No 2019/317 of 11 February 2019, hereafter the performance and charging Regulation, laying down a performance and charging scheme in the Single European Sky and repealing Implementing Regulations (EU) No 390/2013 and (EU) No 391/2013.</t>
  </si>
  <si>
    <t>States can easily provide additional narrative material in the annexes which form an integral part of the performance plan.</t>
  </si>
  <si>
    <t>ANNEX E. INVESTMENTS</t>
  </si>
  <si>
    <t>ANNEX D. LOCAL TRAFFIC FORECASTS</t>
  </si>
  <si>
    <t>ANNEX F. BASELINE VALUES (COST-EFFICIENCY)</t>
  </si>
  <si>
    <t>ANNEX G. PARAMETERS FOR THE TRAFFIC RISK SHARING</t>
  </si>
  <si>
    <t>ANNEX H. RESTRUCTURING MEASURES AND COSTS</t>
  </si>
  <si>
    <t>ANNEX I. PARAMETERS FOR THE MANDATORY CAPACITY INCENTIVES</t>
  </si>
  <si>
    <t>ANNEX J. OPTIONAL KPIs AND TARGETS</t>
  </si>
  <si>
    <t>ANNEX K. OPTIONAL INCENTIVE SCHEMES</t>
  </si>
  <si>
    <t>ANNEX L. JUSTIFICATION FOR SIMPLIFIED CHARGING SCHEME</t>
  </si>
  <si>
    <t>ANNEX Z. CORRECTIVE MEASURES*</t>
  </si>
  <si>
    <t>* Only as per Article 15(6) of the Regulation</t>
  </si>
  <si>
    <t>Annexes of relevance to this section</t>
  </si>
  <si>
    <t>Specific local factors justifying not using the STATFOR base forecasts
(provide justification below or refer to Annex D for more detailed explanation)</t>
  </si>
  <si>
    <t>State decision and assessment report</t>
  </si>
  <si>
    <t>NOTE: The requirements as per Annex II, 2.2.(c) are addressed in item 4.1.2</t>
  </si>
  <si>
    <t>ANNEX M. COST ALLOCATION</t>
  </si>
  <si>
    <t>3.6 - Description of KPAs interdependencies and trade-offs including the assumptions used to assess those trade-offs</t>
  </si>
  <si>
    <t>3.6.1 - Interdependencies and trade-offs between safety and other KPAs</t>
  </si>
  <si>
    <t>d) Do targets allow trade-offs in operational decision making to managing resource shortfalls in order to preserve safety performance? Do targets restrict the release of staff for safety activities, such as training?</t>
  </si>
  <si>
    <t>e) Has the State reviewed the ANSP financial and personnel resources that are needed to support safe ATC service provision through safety promotion, safety improvement, safety assurance and safety risk management after changes introduced to achieve targets in other KPAs? Please, explain.</t>
  </si>
  <si>
    <t>3.6.2 - Interdependencies and trade-offs between capacity and environment</t>
  </si>
  <si>
    <t>3.6.3 - Interdependencies and trade-offs between cost-efficiency and capacity</t>
  </si>
  <si>
    <t xml:space="preserve">3.6.4 - Other interdependencies and trade-offs </t>
  </si>
  <si>
    <t>4.1.1 - Planned or implemented cross-border initiatives at the level of ANSPs</t>
  </si>
  <si>
    <t>4.1 - Cross-border initiatives and synergies</t>
  </si>
  <si>
    <t>4.1.2 - Investment synergies achieved at FAB level or through other cross-border initiatives</t>
  </si>
  <si>
    <t>Details of synergies in terms of common infrastructure and common procurement</t>
  </si>
  <si>
    <t>ANNEX N. CROSS-BORDER INITIATIVES</t>
  </si>
  <si>
    <t>NOTE: The following requirements as per Annex II, 3.3 are addressed in the Annexes A and B:</t>
  </si>
  <si>
    <t>Point 3.3 (d) on cost-allocation;</t>
  </si>
  <si>
    <t>Point 3.3 (e) on the return on equity and cost of capital;</t>
  </si>
  <si>
    <t>Point 3.3 (f) on assumptions for pension costs and interest on debt for other entities,  inflation forecast and adjustments beyong IFRS;</t>
  </si>
  <si>
    <t>Point 3.3 (g) on adjustments to the unit rates carried over from previous reference periods;</t>
  </si>
  <si>
    <t>Point 3.3 (h) on costs exempt from cost-sharing;</t>
  </si>
  <si>
    <t>Point 3.3 (k) reporting tables and additional informations.</t>
  </si>
  <si>
    <t>** Refer to Annex I, if necessary.</t>
  </si>
  <si>
    <t>ANNEX B.x - Terminal Charging Zone #x</t>
  </si>
  <si>
    <t>2 INVESTMENTS</t>
  </si>
  <si>
    <t>3.1 SAFETY TARGETS</t>
  </si>
  <si>
    <t>3.2 ENVIRONMENT TARGETS</t>
  </si>
  <si>
    <t>3.3 CAPACITY TARGETS</t>
  </si>
  <si>
    <t>3.4 COST-EFFICIENCY TARGETS</t>
  </si>
  <si>
    <t>3.4.1 Cost efficiency KPI #1: Determined unit cost (DUC) for en route ANS</t>
  </si>
  <si>
    <t>3.4.2 Cost efficiency KPI #2: Determined unit cost (DUC) for terminal ANS</t>
  </si>
  <si>
    <t>3.4.3 Pension assumptions</t>
  </si>
  <si>
    <t>3.4.4 Interest rate assumptions for loans financing the provision of air navigation services</t>
  </si>
  <si>
    <t>3.4.5 Restructuring costs</t>
  </si>
  <si>
    <t>3.6 INTERDEPENDENCIES AND TRADE-OFFS</t>
  </si>
  <si>
    <t>3.5 ADDITIONAL KPIS / TARGETS</t>
  </si>
  <si>
    <t>4.1 CROSS-BORDER INITIATIVES AND SYNERGIES</t>
  </si>
  <si>
    <t>4.1.1 Planned or implemented cross-border initiatives at the level of ANSPs</t>
  </si>
  <si>
    <t>3.3.2 Capacity KPI #2: Terminal and airport ANS ATFM arrival delay per flight</t>
  </si>
  <si>
    <t>3.3.1 Capacity KPI #1: En route ATFM delay per flight</t>
  </si>
  <si>
    <t>3.2.1 Environment KPI #1: Horizontal en route flight efficiency (KEA)</t>
  </si>
  <si>
    <t>3.1.1 Safety KPI #1: Level of Effectiveness of Safety Management achieved by ANSPs</t>
  </si>
  <si>
    <t>4.1.2 Investment synergies achieved at FAB level or through other cross-border initiatives</t>
  </si>
  <si>
    <t>4.3 CHANGE MANAGEMENT</t>
  </si>
  <si>
    <t>En Route Charging Zone #x</t>
  </si>
  <si>
    <t xml:space="preserve">Terminal Charging Zone #x </t>
  </si>
  <si>
    <t>Terminal Charging Zone #x</t>
  </si>
  <si>
    <t>SECTION 3.6:  DESCRIPTION OF KPAS INTERDEPENDENCIES AND TRADE-OFFS INCLUDING THE ASSUMPTIONS USED TO ASSESS THOSE TRADE-OFFS</t>
  </si>
  <si>
    <t>SECTION 3.5: ADDITIONAL KPIS / TARGETS</t>
  </si>
  <si>
    <t>3.5 Additional KPIs / Targets</t>
  </si>
  <si>
    <t>Index</t>
  </si>
  <si>
    <t>ACC_Long_Name</t>
  </si>
  <si>
    <t>LOVV ACC</t>
  </si>
  <si>
    <t>Vienna (LOVV ACC)</t>
  </si>
  <si>
    <t>EBBU ACC</t>
  </si>
  <si>
    <t>Brussels (EBBU ACC)</t>
  </si>
  <si>
    <t>LBSR ACC</t>
  </si>
  <si>
    <t>Sofia</t>
  </si>
  <si>
    <t>Sofia (LBSR ACC)</t>
  </si>
  <si>
    <t>LDZO ACC</t>
  </si>
  <si>
    <t>Zagreb</t>
  </si>
  <si>
    <t>Zagreb (LDZO ACC)</t>
  </si>
  <si>
    <t>LCCC ACC</t>
  </si>
  <si>
    <t>Nicosia</t>
  </si>
  <si>
    <t>Nicosia (LCCC ACC)</t>
  </si>
  <si>
    <t>LKAA ACC</t>
  </si>
  <si>
    <t>Prague</t>
  </si>
  <si>
    <t>Prague (LKAA ACC)</t>
  </si>
  <si>
    <t>EKDK ACC</t>
  </si>
  <si>
    <t>Copenhagen (EKDK ACC)</t>
  </si>
  <si>
    <t>EETT ACC</t>
  </si>
  <si>
    <t>Tallinn</t>
  </si>
  <si>
    <t>Tallinn (EETT ACC)</t>
  </si>
  <si>
    <t>EFIN ACC</t>
  </si>
  <si>
    <t>Tampere</t>
  </si>
  <si>
    <t>Tampere (EFIN ACC)</t>
  </si>
  <si>
    <t>LFBB ACC</t>
  </si>
  <si>
    <t>Bordeaux</t>
  </si>
  <si>
    <t>Bordeaux (LFBB ACC)</t>
  </si>
  <si>
    <t>LFRRACC</t>
  </si>
  <si>
    <t>Brest</t>
  </si>
  <si>
    <t>Brest (LFRRACC)</t>
  </si>
  <si>
    <t>LFMM ACC</t>
  </si>
  <si>
    <t>Marseille</t>
  </si>
  <si>
    <t>Marseille (LFMM ACC)</t>
  </si>
  <si>
    <t>LFFF ACC</t>
  </si>
  <si>
    <t>Paris</t>
  </si>
  <si>
    <t>Paris (LFFF ACC)</t>
  </si>
  <si>
    <t>LFEE ACC</t>
  </si>
  <si>
    <t>Reims</t>
  </si>
  <si>
    <t>Reims (LFEE ACC)</t>
  </si>
  <si>
    <t>EDWW ACC</t>
  </si>
  <si>
    <t>Bremen (EDWW ACC)</t>
  </si>
  <si>
    <t>EDUU UAC</t>
  </si>
  <si>
    <t>Karlsruhe</t>
  </si>
  <si>
    <t>Karlsruhe (EDUU UAC)</t>
  </si>
  <si>
    <t>EDGG ACC</t>
  </si>
  <si>
    <t>Langen</t>
  </si>
  <si>
    <t>Langen (EDGG ACC)</t>
  </si>
  <si>
    <t>EDMM ACC</t>
  </si>
  <si>
    <t>Munich (EDMM ACC)</t>
  </si>
  <si>
    <t>LGGG ACC</t>
  </si>
  <si>
    <t>Athens (LGGG ACC)</t>
  </si>
  <si>
    <t>LGMD ACC</t>
  </si>
  <si>
    <t>Makedonia</t>
  </si>
  <si>
    <t>Makedonia (LGMD ACC)</t>
  </si>
  <si>
    <t>LHCC ACC</t>
  </si>
  <si>
    <t>Budapest (LHCC ACC)</t>
  </si>
  <si>
    <t>EIDW ACC</t>
  </si>
  <si>
    <t>Dublin (EIDW ACC)</t>
  </si>
  <si>
    <t>EISN ACC</t>
  </si>
  <si>
    <t>Shannon (EISN ACC)</t>
  </si>
  <si>
    <t>LIBB ACC</t>
  </si>
  <si>
    <t>Brindisi</t>
  </si>
  <si>
    <t>Brindisi (LIBB ACC)</t>
  </si>
  <si>
    <t>LIMM ACC</t>
  </si>
  <si>
    <t>Milano</t>
  </si>
  <si>
    <t>Milano (LIMM ACC)</t>
  </si>
  <si>
    <t>LIPP ACC</t>
  </si>
  <si>
    <t>Padova</t>
  </si>
  <si>
    <t>Padova (LIPP ACC)</t>
  </si>
  <si>
    <t>LIRR ACC</t>
  </si>
  <si>
    <t>Rome</t>
  </si>
  <si>
    <t>Rome (LIRR ACC)</t>
  </si>
  <si>
    <t>EVRR ACC</t>
  </si>
  <si>
    <t>Riga (EVRR ACC)</t>
  </si>
  <si>
    <t>EYVC ACC</t>
  </si>
  <si>
    <t>Vilnius</t>
  </si>
  <si>
    <t>Vilnius (EYVC ACC)</t>
  </si>
  <si>
    <t>LMMM ACC</t>
  </si>
  <si>
    <t>Malta (LMMM ACC)</t>
  </si>
  <si>
    <t>EHAA ACC</t>
  </si>
  <si>
    <t>Amsterdam (EHAA ACC)</t>
  </si>
  <si>
    <t>EDYY UAC</t>
  </si>
  <si>
    <t>Maastricht</t>
  </si>
  <si>
    <t>Maastricht (EDYY UAC)</t>
  </si>
  <si>
    <t>ENBD ACC</t>
  </si>
  <si>
    <t>Bodo</t>
  </si>
  <si>
    <t>Bodo (ENBD ACC)</t>
  </si>
  <si>
    <t>ENOSE ACC</t>
  </si>
  <si>
    <t>Oslo</t>
  </si>
  <si>
    <t>Oslo (ENOSE ACC)</t>
  </si>
  <si>
    <t>ENOSW ACC</t>
  </si>
  <si>
    <t>Stavanger</t>
  </si>
  <si>
    <t>Stavanger (ENOSW ACC)</t>
  </si>
  <si>
    <t>EPWW ACC</t>
  </si>
  <si>
    <t>Warsaw</t>
  </si>
  <si>
    <t>Warsaw (EPWW ACC)</t>
  </si>
  <si>
    <t>LPPC ACC</t>
  </si>
  <si>
    <t>Lisbon (LPPC ACC)</t>
  </si>
  <si>
    <t>LRBB ACC</t>
  </si>
  <si>
    <t>Bucharest</t>
  </si>
  <si>
    <t>Bucharest (LRBB ACC)</t>
  </si>
  <si>
    <t>LZBB ACC</t>
  </si>
  <si>
    <t>Bratislava (LZBB ACC)</t>
  </si>
  <si>
    <t>LJLA ACC</t>
  </si>
  <si>
    <t>Ljubljana</t>
  </si>
  <si>
    <t>Ljubljana (LJLA ACC)</t>
  </si>
  <si>
    <t>LECB ACC</t>
  </si>
  <si>
    <t>Barcelona (LECB ACC)</t>
  </si>
  <si>
    <t>LECM ACC</t>
  </si>
  <si>
    <t>Madrid</t>
  </si>
  <si>
    <t>Madrid (LECM ACC)</t>
  </si>
  <si>
    <t>LECP ACC</t>
  </si>
  <si>
    <t>Palma</t>
  </si>
  <si>
    <t>Palma (LECP ACC)</t>
  </si>
  <si>
    <t>LECS ACC</t>
  </si>
  <si>
    <t>Sevilla</t>
  </si>
  <si>
    <t>Sevilla (LECS ACC)</t>
  </si>
  <si>
    <t>GCCC ACC</t>
  </si>
  <si>
    <t>Canarias</t>
  </si>
  <si>
    <t>Canarias (GCCC ACC)</t>
  </si>
  <si>
    <t>ESMM ACC</t>
  </si>
  <si>
    <t>Malmo</t>
  </si>
  <si>
    <t>Malmo (ESMM ACC)</t>
  </si>
  <si>
    <t>ESOS ACC</t>
  </si>
  <si>
    <t>Stockholm</t>
  </si>
  <si>
    <t>Stockholm (ESOS ACC)</t>
  </si>
  <si>
    <t>LSAG ACC</t>
  </si>
  <si>
    <t>Geneva (LSAG ACC)</t>
  </si>
  <si>
    <t>LSAZ ACC</t>
  </si>
  <si>
    <t>Zurich (LSAZ ACC)</t>
  </si>
  <si>
    <t>EGTT ACC</t>
  </si>
  <si>
    <t>London</t>
  </si>
  <si>
    <t>London (EGTT ACC)</t>
  </si>
  <si>
    <t>EGTTT TC</t>
  </si>
  <si>
    <t>London Terminal</t>
  </si>
  <si>
    <t>London Terminal (EGTTT TC)</t>
  </si>
  <si>
    <t>EGPX ACC</t>
  </si>
  <si>
    <t>Prestwick</t>
  </si>
  <si>
    <t>Prestwick (EGPX ACC)</t>
  </si>
  <si>
    <t>Actual routes 2020-2024</t>
  </si>
  <si>
    <t>Flight Plan 2019</t>
  </si>
  <si>
    <t>Click to select number of new major investments</t>
  </si>
  <si>
    <t>ELXY</t>
  </si>
  <si>
    <t>No ACC</t>
  </si>
  <si>
    <t>a) Do the measures to reach the targets in the different KPAs require changes in the ANSP functional system that have safety implications? If yes, which mitigation measures are put in place?</t>
  </si>
  <si>
    <t>Bonus cap</t>
  </si>
  <si>
    <t>Penalty cap</t>
  </si>
  <si>
    <r>
      <t xml:space="preserve">Number of  ATCOs in OPS planned to be operational </t>
    </r>
    <r>
      <rPr>
        <b/>
        <sz val="11"/>
        <color theme="1"/>
        <rFont val="Calibri"/>
        <family val="2"/>
        <scheme val="minor"/>
      </rPr>
      <t>at year-end (FTEs)</t>
    </r>
  </si>
  <si>
    <r>
      <t>Number of  ATCOs in OPS planned to be operational</t>
    </r>
    <r>
      <rPr>
        <b/>
        <sz val="11"/>
        <color theme="1"/>
        <rFont val="Calibri"/>
        <family val="2"/>
        <scheme val="minor"/>
      </rPr>
      <t xml:space="preserve"> at year-end (FTEs)</t>
    </r>
  </si>
  <si>
    <t>1.1.1 - List of ANSPs and geographical coverage and services</t>
  </si>
  <si>
    <t>Number of ATCOs in OPS planned to stop working in the OPS room (FTEs)</t>
  </si>
  <si>
    <t>b) The scope of the incentives is limited to delay causes related to ATC capacity, ATC routing, ATC staffing, ATC equipment, airspace management and special events with the codes C, R, S, T, M and P of the ATFCM user manual. If yes, provide below a justification for this decision and an explanation of how the pivot values are calculated.</t>
  </si>
  <si>
    <t>a.2) The pivot value for year n is informed by the November release of the year n-1 of the NOP and calculated according to the following principles and formulas:**</t>
  </si>
  <si>
    <t>Description of the processes put in place by the NSA to monitor the implementation of the Performance Plan including the yearly monitoring of all KPIs and PIs defined in Annex I of the Regulation and a description of the data sources</t>
  </si>
  <si>
    <t>Description of the processes put in place and measures to be applied by the NSA to address the situation where targets are not reached during the reference period</t>
  </si>
  <si>
    <t>1.4.1 - Airports as per Article 1(3) (IFR movements ≥ 80 000)</t>
  </si>
  <si>
    <t>We hereby confirm that the present performance plan is consistent with the scope of Regulation (EU) No 2019/317 pursuant to Article 1 of Regulation (EU) No 2019/317 and Article 7 of Regulation (EC) No 549/2004.</t>
  </si>
  <si>
    <t>5.1.1 Traffic risk sharing - En route charging zones</t>
  </si>
  <si>
    <t>5.1 - Traffic risk sharing</t>
  </si>
  <si>
    <t>Traffic risk-sharing parameters adapted?</t>
  </si>
  <si>
    <t>Standard parameters</t>
  </si>
  <si>
    <t>Adapted parameters</t>
  </si>
  <si>
    <t>5.1.2 Traffic risk sharing - Terminal charging zones</t>
  </si>
  <si>
    <t>Shaded areas</t>
  </si>
  <si>
    <t>x</t>
  </si>
  <si>
    <t>y</t>
  </si>
  <si>
    <t>Minimum</t>
  </si>
  <si>
    <t>Zero</t>
  </si>
  <si>
    <t>Maximum</t>
  </si>
  <si>
    <t>bottom</t>
  </si>
  <si>
    <t>Leftt band</t>
  </si>
  <si>
    <t>Zero line</t>
  </si>
  <si>
    <t>5.2.1.2 Rationale and justification - Enroute</t>
  </si>
  <si>
    <t>5.2.2.2 Rationale and justification - Terminal</t>
  </si>
  <si>
    <t>CAGR
2019-2024</t>
  </si>
  <si>
    <t>Charging policy</t>
  </si>
  <si>
    <t>New and existing investments, and in particular new major investments, including their expected benefits</t>
  </si>
  <si>
    <t>NOP reference values (mins of ATFM delay per flight)</t>
  </si>
  <si>
    <t>* Refer to Annex P, if necessary.</t>
  </si>
  <si>
    <t>* Refer to Annex O, if necessary.</t>
  </si>
  <si>
    <t>* Refer to Annex Q, if necessary.</t>
  </si>
  <si>
    <t>c) Main measures put in place to achieve the safety performance targets</t>
  </si>
  <si>
    <t>b) Detailed justifications in case of inconsistency between local and Union-wide safety targets</t>
  </si>
  <si>
    <t>ANNEX O. JUSTIFICATIONS FOR THE LOCAL SAFETY TARGETS</t>
  </si>
  <si>
    <t>ANNEX P. JUSTIFICATIONS FOR THE LOCAL ENVIRONMENT TARGETS</t>
  </si>
  <si>
    <t>ANNEX Q. JUSTIFICATIONS FOR THE LOCAL CAPACITY TARGETS</t>
  </si>
  <si>
    <t>ANNEX R. JUSTIFICATIONS FOR THE LOCAL COST-EFFICIENCY TARGETS</t>
  </si>
  <si>
    <t>* Refer to Annex R, if necessary.</t>
  </si>
  <si>
    <t>b) Detailed justifications in case of inconsistency between national targets and national reference values</t>
  </si>
  <si>
    <t>c) Main measures put in place to achieve the environment performance targets</t>
  </si>
  <si>
    <t>c) Main measures put in place to achieve the target for en-route ATFM delay per flight</t>
  </si>
  <si>
    <t>d) ATCO planning</t>
  </si>
  <si>
    <t>a) Capacity national performance targets</t>
  </si>
  <si>
    <t>b) Contribution to the improvement of the European ATM network performance</t>
  </si>
  <si>
    <t>c) Main measures put in place to achieve the target for terminal and airport ANS ATFM arrival delay per flight</t>
  </si>
  <si>
    <t>2014 B</t>
  </si>
  <si>
    <t>Baseline 2014</t>
  </si>
  <si>
    <t>Are there different contribution rates for different staff categories? If yes, how many?</t>
  </si>
  <si>
    <t>&lt;Staff category name&gt;</t>
  </si>
  <si>
    <t>Describe the actions taken ex-ante to manage the cost-risk (cost increase) associated with this item, as well as the actions taken to limit the impact of the unforeseen change on the costs to be passed on to airspace users</t>
  </si>
  <si>
    <t>Description on the relevant national pension regulations and pension accounting regulations on which the assumptions are based, as well as information whether changes of those regulations are to be expected during RP3</t>
  </si>
  <si>
    <t>Description of the assumptions underlying the calculations of pension costs comprised in the determined costs</t>
  </si>
  <si>
    <t>3.4.3.2 Assumptions for the "State" pension scheme</t>
  </si>
  <si>
    <t>3.4.3.3 Assumptions for the occupational "Defined contributions" pension scheme</t>
  </si>
  <si>
    <t>3.4.3.4 Assumptions for the occupational "Defined benefits" pension scheme</t>
  </si>
  <si>
    <t>3.4.3.1 Total pension costs</t>
  </si>
  <si>
    <t>Total pension costs</t>
  </si>
  <si>
    <t>En-route activity</t>
  </si>
  <si>
    <t>Other activities</t>
  </si>
  <si>
    <t>Terminal activity</t>
  </si>
  <si>
    <t xml:space="preserve">Pension costs </t>
  </si>
  <si>
    <t>3.4.3.1 Total pension costs (in nominal terms in '000 national currency)</t>
  </si>
  <si>
    <t>3.4.3.2 Assumptions for the "State" pension scheme (in nominal terms in '000 national currency)</t>
  </si>
  <si>
    <t>3.4.3.3 Assumptions for the occupational "Defined contributions" pension scheme (in nominal terms in '000 national currency)</t>
  </si>
  <si>
    <t>3.4.3.4 Assumptions for the occupational "Defined benefits" pension scheme (in nominal terms in '000 national currency)</t>
  </si>
  <si>
    <t>ANSP(s) concerned</t>
  </si>
  <si>
    <t>Optional Incentive #10 details</t>
  </si>
  <si>
    <t>Optional Incentive #9 details</t>
  </si>
  <si>
    <t>Optional Incentive #8 details</t>
  </si>
  <si>
    <t>Optional Incentive #7 details</t>
  </si>
  <si>
    <t>Optional Incentive #5 details</t>
  </si>
  <si>
    <t>Optional Incentive #6 details</t>
  </si>
  <si>
    <t>Optional Incentive #4 details</t>
  </si>
  <si>
    <t>Optional Incentive #3 details</t>
  </si>
  <si>
    <t>Optional Incentive #2 details</t>
  </si>
  <si>
    <t>EUROCONTROL</t>
  </si>
  <si>
    <t>BALTIC</t>
  </si>
  <si>
    <t>BLUEMED</t>
  </si>
  <si>
    <t>DANUBE</t>
  </si>
  <si>
    <t>DENMARK/SWEDEN</t>
  </si>
  <si>
    <t>FABCE</t>
  </si>
  <si>
    <t>SOUTHWEST</t>
  </si>
  <si>
    <t>UK/IRELAND</t>
  </si>
  <si>
    <t>1.1.1 - List of ANSPs and geographical coverage of services</t>
  </si>
  <si>
    <t>Total remaining balance</t>
  </si>
  <si>
    <t>1.4 LIST OF AIRPORTS SUBJECT TO THE PERFORMANCE AND CHARGING REGULATION</t>
  </si>
  <si>
    <t>1.5 - Services under market conditions</t>
  </si>
  <si>
    <t>List of airports with Traffic  (data source: EUROCONTROL/NM)</t>
  </si>
  <si>
    <t>Performance Plan</t>
  </si>
  <si>
    <t>Third Reference Period (2020-2024)</t>
  </si>
  <si>
    <t>Status:</t>
  </si>
  <si>
    <t>Date of issue:</t>
  </si>
  <si>
    <t>Alert threshold (Δ Ref. value in fraction of min)</t>
  </si>
  <si>
    <t>Bonus/penalty range (% of pivot value)</t>
  </si>
  <si>
    <t>Xaxis label</t>
  </si>
  <si>
    <t>C, R, S, T, M, P Note</t>
  </si>
  <si>
    <t>Bonus/penalty range Δ (in fraction of min)</t>
  </si>
  <si>
    <t>Network</t>
  </si>
  <si>
    <t>Non-performance</t>
  </si>
  <si>
    <t>Safety</t>
  </si>
  <si>
    <t>Environment</t>
  </si>
  <si>
    <t>Capacity</t>
  </si>
  <si>
    <t>Cost Efficiency</t>
  </si>
  <si>
    <t>Level of impact of the investment</t>
  </si>
  <si>
    <t>Quantitative impact per KPA</t>
  </si>
  <si>
    <t>Local</t>
  </si>
  <si>
    <t>ANNEX S. INTERDEPENDENCIES</t>
  </si>
  <si>
    <t>ANNEX T. OTHER MATERIAL</t>
  </si>
  <si>
    <t>Should additional space be needed for any of the items, please use Annex S.</t>
  </si>
  <si>
    <t>Number of Air Traffic Service Providers</t>
  </si>
  <si>
    <t>Austria - TCZ</t>
  </si>
  <si>
    <t>Bulgaria - TCZ</t>
  </si>
  <si>
    <t>Croatia - TCZ</t>
  </si>
  <si>
    <t>Cyprus - TCZ</t>
  </si>
  <si>
    <t>Czech Republic - TCZ</t>
  </si>
  <si>
    <t>Denmark - TCZ</t>
  </si>
  <si>
    <t>Estonia - TCZ</t>
  </si>
  <si>
    <t>Finland - TCZ</t>
  </si>
  <si>
    <t>Germany - TCZ</t>
  </si>
  <si>
    <t>Greece - TCZ</t>
  </si>
  <si>
    <t>Hungary - TCZ</t>
  </si>
  <si>
    <t>Ireland - TCZ</t>
  </si>
  <si>
    <t>Latvia - TCZ</t>
  </si>
  <si>
    <t>Lithuania - TCZ</t>
  </si>
  <si>
    <t>Malta - TCZ</t>
  </si>
  <si>
    <t>Netherlands - TCZ</t>
  </si>
  <si>
    <t>Norway - TCZ</t>
  </si>
  <si>
    <t>Portugal - TCZ</t>
  </si>
  <si>
    <t>Romania - TCZ</t>
  </si>
  <si>
    <t>Slovakia - TCZ</t>
  </si>
  <si>
    <t>Slovenia - TCZ</t>
  </si>
  <si>
    <t>Spain - TCZ</t>
  </si>
  <si>
    <t>Sweden - TCZ</t>
  </si>
  <si>
    <t>Switzerland - TCZ</t>
  </si>
  <si>
    <t>Luxembourg - TCZ</t>
  </si>
  <si>
    <t>Remaining balance</t>
  </si>
  <si>
    <t>Draft performance plan (Art. 12 of IR 2019/317)</t>
  </si>
  <si>
    <t>Updated draft performance plan (Art. 13(2) of IR 2019/317)</t>
  </si>
  <si>
    <t>Revised draft performance plan (Art. 14(3) of IR 2019/317)</t>
  </si>
  <si>
    <t>Draft performance plan containing revised RP3 targets (Art. 3 of IR 2020/1627 &amp; Art. 12 of IR 2019/317)</t>
  </si>
  <si>
    <t>Updated draft performance plan containing revised RP3 targets (Art. 3 of IR 2020/1627 &amp; Art. 12 of IR 2019/317)</t>
  </si>
  <si>
    <t>Revised draft after detailed examination (Art. 15(3) of IR 2019/317)</t>
  </si>
  <si>
    <t>Revised draft performance plan with corrective measures (Art. 15(5) of IR 2019/317)</t>
  </si>
  <si>
    <t>Final adopted performance plan (Art. 16(a and b) of IR 2019/317)</t>
  </si>
  <si>
    <t>Performance plan revised during the reference period (Art. 18 of IR 2019/317)</t>
  </si>
  <si>
    <t>Final performance plan revised during the reference period (Art. 16 of IR 2019/317)</t>
  </si>
  <si>
    <t>Relevant local circumstances with high significance for performance target setting and updated view on the impact of the COVID-19 crisis on the operational and financial situation of ANSPs covered in the performance plan</t>
  </si>
  <si>
    <t>2019A</t>
  </si>
  <si>
    <t>2020A</t>
  </si>
  <si>
    <t>2019</t>
  </si>
  <si>
    <t>STATFOR-MAY</t>
  </si>
  <si>
    <t>Name of investment</t>
  </si>
  <si>
    <t>Terminal Charging zones and airports- Updated with RP3 situation</t>
  </si>
  <si>
    <t>LFOP</t>
  </si>
  <si>
    <t>Rouen/Vallée-de-Seine</t>
  </si>
  <si>
    <t>EVJA</t>
  </si>
  <si>
    <t>Tukums</t>
  </si>
  <si>
    <t>LPMT</t>
  </si>
  <si>
    <t>Montijo</t>
  </si>
  <si>
    <t>Biggin Hill airport</t>
  </si>
  <si>
    <t>Terminal Charging zones - RP3</t>
  </si>
  <si>
    <t>2020_ACTUAL_PERF</t>
  </si>
  <si>
    <t>Terminal delay per flight</t>
  </si>
  <si>
    <t>AF1</t>
  </si>
  <si>
    <t>AF2</t>
  </si>
  <si>
    <t>AF3</t>
  </si>
  <si>
    <t>AF4</t>
  </si>
  <si>
    <t>AF5</t>
  </si>
  <si>
    <t>AF6</t>
  </si>
  <si>
    <t>Interoperability</t>
  </si>
  <si>
    <t>a) Safety performance targets</t>
  </si>
  <si>
    <t>ANNEX U. VERIFICATION BY THE NSA OF THE COMPLIANCE OF THE COST BASE</t>
  </si>
  <si>
    <t xml:space="preserve">       RP3 revised cost-efficiency targets (determined 2020-2024)</t>
  </si>
  <si>
    <t>vs. 2014 B</t>
  </si>
  <si>
    <t>vs. 2019 B</t>
  </si>
  <si>
    <t>2020/2021 D</t>
  </si>
  <si>
    <r>
      <t xml:space="preserve">Total en route costs in real terms (in EUR2017) </t>
    </r>
    <r>
      <rPr>
        <b/>
        <vertAlign val="superscript"/>
        <sz val="11"/>
        <rFont val="Calibri"/>
        <family val="2"/>
      </rPr>
      <t>1</t>
    </r>
  </si>
  <si>
    <t>b) Information on the baseline values for the determined costs and the determined unit costs</t>
  </si>
  <si>
    <t>Actuals 2014</t>
  </si>
  <si>
    <t>Actuals 2019</t>
  </si>
  <si>
    <t>2014 A</t>
  </si>
  <si>
    <t>2019 A</t>
  </si>
  <si>
    <t>Total en route costs in nominal terms (in national currency)</t>
  </si>
  <si>
    <t>Total en route costs in real terms (in national currency at 2017 prices)</t>
  </si>
  <si>
    <t>Total en route Service Units (TSU)</t>
  </si>
  <si>
    <t>Number of adjustments</t>
  </si>
  <si>
    <t>Adjustment #1</t>
  </si>
  <si>
    <t>Entity type</t>
  </si>
  <si>
    <t>Nature</t>
  </si>
  <si>
    <t>Costs nominal NC</t>
  </si>
  <si>
    <t>Costs real NC</t>
  </si>
  <si>
    <t>Costs EUR2017</t>
  </si>
  <si>
    <t>Description and justification of the adjustment</t>
  </si>
  <si>
    <t>&lt;Justification&gt;</t>
  </si>
  <si>
    <t>&lt;Title of adjustment&gt;</t>
  </si>
  <si>
    <t>Adjustment #2</t>
  </si>
  <si>
    <t>Adjustment #3</t>
  </si>
  <si>
    <t>Adjustment #4</t>
  </si>
  <si>
    <t>Adjustment #5</t>
  </si>
  <si>
    <t>Adjustment #6</t>
  </si>
  <si>
    <t>Adjustment #7</t>
  </si>
  <si>
    <t>Adjustment #8</t>
  </si>
  <si>
    <t>Adjustment #9</t>
  </si>
  <si>
    <t>Adjustment #10</t>
  </si>
  <si>
    <t>Total adjustments to the 2014 baseline value for the determined costs</t>
  </si>
  <si>
    <t>c) Detailed justifications for the adjustments to the baseline values</t>
  </si>
  <si>
    <t>Inflation Index 2014 Actual</t>
  </si>
  <si>
    <t>Inflation Index 2019 Actual</t>
  </si>
  <si>
    <t>Impact of transition to actual route flown</t>
  </si>
  <si>
    <t>Coefficient M2/M3</t>
  </si>
  <si>
    <t>Service units</t>
  </si>
  <si>
    <t>Other adjustment to the 2014 service units</t>
  </si>
  <si>
    <t>Total adjustments to the 2014 service units</t>
  </si>
  <si>
    <t xml:space="preserve"> Source</t>
  </si>
  <si>
    <t>ECZ</t>
  </si>
  <si>
    <t>May 2019 (based on 12 months)</t>
  </si>
  <si>
    <t>North Macedonia</t>
  </si>
  <si>
    <t>Albania</t>
  </si>
  <si>
    <t>Armenia</t>
  </si>
  <si>
    <t>Total</t>
  </si>
  <si>
    <t>Georgia</t>
  </si>
  <si>
    <t>Serbia &amp; Montenegro</t>
  </si>
  <si>
    <t>Bosnia-Herzegovina</t>
  </si>
  <si>
    <t>Turkey</t>
  </si>
  <si>
    <t>Portugal Santa Maria</t>
  </si>
  <si>
    <t>Moldova</t>
  </si>
  <si>
    <t>CRCO correction factors M2/M3</t>
  </si>
  <si>
    <t>For reference: CRCO correction factor May 2019 (on 12 months)</t>
  </si>
  <si>
    <t>c.1) Adjustments to the 2014 baseline value for the determined costs</t>
  </si>
  <si>
    <t>c.2) Adjustments to the 2014 service units</t>
  </si>
  <si>
    <t>c.3) Adjustments to the 2019 baseline value for the determined costs</t>
  </si>
  <si>
    <t>Total adjustments to the 2019 baseline value for the determined costs</t>
  </si>
  <si>
    <t>Other adjustment to the 2019 service units</t>
  </si>
  <si>
    <t>c.4) Adjustments to the 2019 service units</t>
  </si>
  <si>
    <t>Total adjustments to the 2019 service units</t>
  </si>
  <si>
    <t>Additional costs of measures necessary to achieve the capacity targets for RP3</t>
  </si>
  <si>
    <t>Restructuring costs planned for RP3</t>
  </si>
  <si>
    <t>e) Main measures put in place to achieve the targets for determined unit cost (DUC) for en route ANS</t>
  </si>
  <si>
    <t>f) Findings of the verification by the NSA (under Art. 22(7) of IR 2019/317) of the compliance of the cost base for charges with the requirements of Article 15(2) of Reg. 550/2004 and Article 22 of IR 2019/317, and where applicable identification of corrections applied to the cost base as a result of this verification</t>
  </si>
  <si>
    <t>* Refer to Annex U, if necessary.</t>
  </si>
  <si>
    <t>Values for graph 2022</t>
  </si>
  <si>
    <t>Bonus sliding range</t>
  </si>
  <si>
    <t>Penalty sliding range</t>
  </si>
  <si>
    <t>3.4.6 - Additional determined costs related to measures necessary to achieve the en route capacity targets</t>
  </si>
  <si>
    <t>Additional costs of measures necessary to achieve the capacity targets for RP3?</t>
  </si>
  <si>
    <r>
      <t xml:space="preserve">If yes, number of </t>
    </r>
    <r>
      <rPr>
        <b/>
        <sz val="11"/>
        <rFont val="Calibri"/>
        <family val="2"/>
        <scheme val="minor"/>
      </rPr>
      <t>en route</t>
    </r>
    <r>
      <rPr>
        <sz val="11"/>
        <rFont val="Calibri"/>
        <family val="2"/>
        <scheme val="minor"/>
      </rPr>
      <t xml:space="preserve"> charging zones concerned</t>
    </r>
  </si>
  <si>
    <t>a) Overall description of the measures necessary to achieve the en-route capacity targets for RP3, which induce additional costs</t>
  </si>
  <si>
    <t>b) Detailed information on the additional costs of measures necessary to achieve the capacity targets for RP3</t>
  </si>
  <si>
    <t>Number of capacity measures, which induce additional costs</t>
  </si>
  <si>
    <t>Description and justification of the additional determined costs of the measure</t>
  </si>
  <si>
    <t xml:space="preserve">Total additional costs of measures </t>
  </si>
  <si>
    <t>c) Detailed information on the additional costs of measures necessary to achieve the capacity targets for RP3 by nature by ANSP</t>
  </si>
  <si>
    <t>Additional costs of measures necessary to achieve the capacity targets for RP3
(nominal terms in ‘000 national currency)</t>
  </si>
  <si>
    <t>d) Demonstration that the deviation from the Union-wide targets is exclusively due to the additional determined costs related to measures necessary to achieve the performance targets in capacity</t>
  </si>
  <si>
    <t>3.4.6 Additional determined costs related to measures necessary to achieve the en route capacity targets</t>
  </si>
  <si>
    <t xml:space="preserve">d) Where a deviation from the Union-wide performance targets is observed, please indicate if the NSA considers those deviations to be necessary and proportionate </t>
  </si>
  <si>
    <t>a) RP3 revised cost-efficiency performance targets (IR 2020/1627)</t>
  </si>
  <si>
    <r>
      <t xml:space="preserve">Total terminal costs in real terms (in EUR2017) </t>
    </r>
    <r>
      <rPr>
        <b/>
        <vertAlign val="superscript"/>
        <sz val="11"/>
        <rFont val="Calibri"/>
        <family val="2"/>
      </rPr>
      <t>1</t>
    </r>
  </si>
  <si>
    <t>c.1) Adjustments to the 2019 baseline value for the determined costs</t>
  </si>
  <si>
    <t>Inflation index 2014/2019 per en route charging zone</t>
  </si>
  <si>
    <t>Associated additional costs (nominal terms in ‘000 national currency)</t>
  </si>
  <si>
    <t>Associated restructuring costs (nominal terms in ‘000 national currency)</t>
  </si>
  <si>
    <t>Total restructuring costs by measures (‘000 national currency)</t>
  </si>
  <si>
    <t>Total restructuring costs by charging zone (‘000 national currency)</t>
  </si>
  <si>
    <t>Total additional costs of measures (‘000 national currency)</t>
  </si>
  <si>
    <t>c.2) Adjustments to the 2019 service units</t>
  </si>
  <si>
    <t>EGKB</t>
  </si>
  <si>
    <t>b) Where applicable, information on how the restructuring measures make use of shared services, ATM data services and/or how the measures contribute to infrastructure rationalisation</t>
  </si>
  <si>
    <t>Information on the impact of the restructuring measure on the key performance area of Safety</t>
  </si>
  <si>
    <t>Information on the impact of the restructuring measure on the key performance area of Environment</t>
  </si>
  <si>
    <t>Information on the impact of the restructuring measure on the key performance area of Capacity</t>
  </si>
  <si>
    <t>c) Detailed information on the restructuring measures planned for RP3</t>
  </si>
  <si>
    <t>d) Detailed information on the restructuring costs by nature by charging zone</t>
  </si>
  <si>
    <t>2020/2021D</t>
  </si>
  <si>
    <t>d) Main measures put in place to achieve the targets for determined unit cost (DUC) for terminal ANS</t>
  </si>
  <si>
    <t>e) Findings of the verification by the NSA (under Art. 22(7) of IR 2019/317) of the compliance of the cost base for charges with the requirements of Article 15(2) of Reg. 550/2004 and Article 22 of IR 2019/317, and where applicable identification of corrections applied to the cost base as a result of this verification</t>
  </si>
  <si>
    <t>Adjustment to the 2014 service units</t>
  </si>
  <si>
    <t>2.1.3.1 - Overall description and justification of the costs nature and benefits of other new and existing investments in fixed assets planned over the reference period</t>
  </si>
  <si>
    <t>2.1.3.2 - Details of the main other new investments in fixed assets planned over the reference period</t>
  </si>
  <si>
    <t>Number of new other investments</t>
  </si>
  <si>
    <t>Click to select number of new other investments</t>
  </si>
  <si>
    <t>2.2.3.1 - Overall description and justification of the costs nature and benefits of other new and existing investments in fixed assets planned over the reference period</t>
  </si>
  <si>
    <t>2.2.3.2 - Details of the main other new investments in fixed assets planned over the reference period</t>
  </si>
  <si>
    <t>2.3.3.1 - Overall description and justification of the costs nature and benefits of other new and existing investments in fixed assets planned over the reference period</t>
  </si>
  <si>
    <t>2.3.3.2 - Details of the main other new investments in fixed assets planned over the reference period</t>
  </si>
  <si>
    <t>2.4.3.1 - Overall description and justification of the costs nature and benefits of other new and existing investments in fixed assets planned over the reference period</t>
  </si>
  <si>
    <t>2.4.3.2 - Details of the main other new investments in fixed assets planned over the reference period</t>
  </si>
  <si>
    <t>2.5.3.1 - Overall description and justification of the costs nature and benefits of other new and existing investments in fixed assets planned over the reference period</t>
  </si>
  <si>
    <t>2.5.3.2 - Details of the main other new investments in fixed assets planned over the reference period</t>
  </si>
  <si>
    <t>2.6.3.1 - Overall description and justification of the costs nature and benefits of other new and existing investments in fixed assets planned over the reference period</t>
  </si>
  <si>
    <t>2.6.3.2 - Details of the main other new investments in fixed assets planned over the reference period</t>
  </si>
  <si>
    <t>2.7.3.1 - Overall description and justification of the costs nature and benefits of other new and existing investments in fixed assets planned over the reference period</t>
  </si>
  <si>
    <t>2.7.3.2 - Details of the main other new investments in fixed assets planned over the reference period</t>
  </si>
  <si>
    <t>2.8.3.1 - Overall description and justification of the costs nature and benefits of other new and existing investments in fixed assets planned over the reference period</t>
  </si>
  <si>
    <t>2.8.3.2 - Details of the main other new investments in fixed assets planned over the reference period</t>
  </si>
  <si>
    <t>2.9.3.1 - Overall description and justification of the costs nature and benefits of other new and existing investments in fixed assets planned over the reference period</t>
  </si>
  <si>
    <t>2.9.3.2 - Details of the main other new investments in fixed assets planned over the reference period</t>
  </si>
  <si>
    <t>2.10.3.1 - Overall description and justification of the costs nature and benefits of other new and existing investments in fixed assets planned over the reference period</t>
  </si>
  <si>
    <t>2.10.3.2 - Details of the main other new investments in fixed assets planned over the reference period</t>
  </si>
  <si>
    <t>2014 Baseline</t>
  </si>
  <si>
    <t xml:space="preserve"> adjustments</t>
  </si>
  <si>
    <t>2019 Baseline</t>
  </si>
  <si>
    <t>adjustments</t>
  </si>
  <si>
    <t>RP3 revised cost-efficiency targets (determined 2020-2024)</t>
  </si>
  <si>
    <t>Fintraffic ANS</t>
  </si>
  <si>
    <t>LD_TCZ_1</t>
  </si>
  <si>
    <t>LD_TCZ_2</t>
  </si>
  <si>
    <t>Croatia - TCZ Zone 1</t>
  </si>
  <si>
    <t>Croatia - TCZ Zone 2</t>
  </si>
  <si>
    <t>EP_TCZ_EPWA</t>
  </si>
  <si>
    <t>EP_TCZ_Other</t>
  </si>
  <si>
    <t>2019-2020 Actuals updated 23-04-2021. Doublecked with monitoring templates</t>
  </si>
  <si>
    <t>Updated 23-April-2021 in line with monitoring templates</t>
  </si>
  <si>
    <t xml:space="preserve">Flight Efficiency (KEA) </t>
  </si>
  <si>
    <t>EP_TCZ_Othr</t>
  </si>
  <si>
    <t>2019-2020 Actuals updated 26-04-21</t>
  </si>
  <si>
    <t>2020T</t>
  </si>
  <si>
    <t>2020RV</t>
  </si>
  <si>
    <t>2021RV</t>
  </si>
  <si>
    <t>2022RV</t>
  </si>
  <si>
    <t>2023RV</t>
  </si>
  <si>
    <t>2024RV</t>
  </si>
  <si>
    <t>Safety 2020 targets</t>
  </si>
  <si>
    <t>STATE</t>
  </si>
  <si>
    <t>ANSP</t>
  </si>
  <si>
    <t>Safety Area</t>
  </si>
  <si>
    <t>Helper</t>
  </si>
  <si>
    <t>C </t>
  </si>
  <si>
    <t>C</t>
  </si>
  <si>
    <t>FERRONATS</t>
  </si>
  <si>
    <t>B</t>
  </si>
  <si>
    <t>D</t>
  </si>
  <si>
    <t>ANS Finland</t>
  </si>
  <si>
    <t>SE Oro Navigacija (ON)</t>
  </si>
  <si>
    <t>Warmia i Mazury sp. z o.o.</t>
  </si>
  <si>
    <t>Port Lotniczy Bydgoszcz S.A.</t>
  </si>
  <si>
    <t>MUAC</t>
  </si>
  <si>
    <t>n/a</t>
  </si>
  <si>
    <t>Specify links to the PCP/CP1/Interoperability Regulations (add the sub-AF number(s) under each relevant box)</t>
  </si>
  <si>
    <t>d) Description and justification of the consistency between local and Union-wide cost-efficiency targets</t>
  </si>
  <si>
    <t>e) Where a deviation from the Union-wide performance targets is observed, please indicate if the NSA considers those deviations to be necessary and proportionate under:</t>
  </si>
  <si>
    <t>f) Main measures put in place to achieve the targets for determined unit cost (DUC) for en route ANS</t>
  </si>
  <si>
    <t>g) Findings of the verification by the NSA (under Art. 22(7) of IR 2019/317) of the compliance of the cost base for charges with the requirements of Article 15(2) of Reg. 550/2004 and Article 22 of IR 2019/317, and where applicable identification of corrections applied to the cost base as a result of this verification</t>
  </si>
  <si>
    <t>d) Description and justification of the contribution of the the local targets to the performance of the European ATM network</t>
  </si>
  <si>
    <t>e) Main measures put in place to achieve the targets for determined unit cost (DUC) for terminal ANS</t>
  </si>
  <si>
    <t>4.2.1 - Common Project One (CP1)</t>
  </si>
  <si>
    <t>CP1-AF1 - Extended AMAN and Integrated AMAN/DMAN in High-Density TMAs</t>
  </si>
  <si>
    <t>CP1-AF2 - Airport Integration and Throughput</t>
  </si>
  <si>
    <t>CP1-AF3 - Flexible Airspace Management and Free Route Airspace</t>
  </si>
  <si>
    <t>CP1-AF4 - Network Collaborative Management</t>
  </si>
  <si>
    <t>CP1-AF5 - SWIM</t>
  </si>
  <si>
    <t>CP1-AF6 - Initial Trajectory Information Sharing</t>
  </si>
  <si>
    <t xml:space="preserve">CP1-s-AF1.1 AMAN extended to en-route airspace </t>
  </si>
  <si>
    <t>CP1-s-AF1.2 AMAN/DMAN Integration</t>
  </si>
  <si>
    <t>CP1-s-AF2.1 DMAN synchronised with predeparture sequencing</t>
  </si>
  <si>
    <t>CP1-s-AF2.3 Airport safety nets</t>
  </si>
  <si>
    <t>CP1-s-AF2.2.1 Initial airport operations plan (iAOP)</t>
  </si>
  <si>
    <t xml:space="preserve">CP1-s-AF3.1 Airspace management and advanced flexible use of airspace </t>
  </si>
  <si>
    <t>CP1-s-AF3.2 Free route airspace</t>
  </si>
  <si>
    <t>CP1-s-AF4.1 Enhanced short-term ATFCM measures</t>
  </si>
  <si>
    <t>CP1-s-AF4.2 Collaborative NOP</t>
  </si>
  <si>
    <t>CP1-s-AF4.3 Automated support for traffic complexity assessment</t>
  </si>
  <si>
    <t>CP1-s-AF4.4 AOP/NOP integration</t>
  </si>
  <si>
    <t>CP1-s-AF5.1 Common infrastructure components</t>
  </si>
  <si>
    <t>CP1-s-AF5.3 Aeronautical information exchange</t>
  </si>
  <si>
    <t>CP1-s-AF5.4 Meteorological information exchange</t>
  </si>
  <si>
    <t>CP1-s-AF5.5 Cooperative network information exchange</t>
  </si>
  <si>
    <t>CP1-s-AF5.2 SWIM yellow profile technical infrastructure and specifications</t>
  </si>
  <si>
    <t>CP1-s-AF5.6 Flight information exchange (yellow profile)</t>
  </si>
  <si>
    <t>CP1-s-AF6.1 Initial air-ground trajectory information sharing</t>
  </si>
  <si>
    <t>CP1-s-AF6.2 Network Manager trajectory information enhancement</t>
  </si>
  <si>
    <t>CP1-s-AF6.3 Initial trajectory information sharing ground distribution</t>
  </si>
  <si>
    <t>CP1 ATM Functionality (CP1-AF) / Sub functionality (CP1-s-AF)</t>
  </si>
  <si>
    <t>CP1-s-AF2.2.2 Airport operations plan (AOP)</t>
  </si>
  <si>
    <t>2020_TARGET_APT</t>
  </si>
  <si>
    <t>May 2021 Forecast - En-route SUs</t>
  </si>
  <si>
    <t>2021-2024 Updated with latest STATFOR forecast (May 2021)</t>
  </si>
  <si>
    <t>May 2021 Forecast - En route Mvts</t>
  </si>
  <si>
    <t xml:space="preserve">May 2021 Forecast - Terminal SUs </t>
  </si>
  <si>
    <t>2020A-T updated 23-April-2021 in line with monitoring templates. RVs updated with email sent by Razvan 7-Jun-2021</t>
  </si>
  <si>
    <t>May 2021 Forecast - Terminal Mvts</t>
  </si>
  <si>
    <t xml:space="preserve">Mr Michalis Agisilaou </t>
  </si>
  <si>
    <t xml:space="preserve">
Head of the NSA - National Supervisory Authority (NSA)
Department of Civil Aviation Cyprus (DCAC) - Ministry of Transport, Communication and Works - 27 Pindarou str., 1060 Nicosia, Republic of Cyprus</t>
  </si>
  <si>
    <t>Nicosia FIR</t>
  </si>
  <si>
    <t>MET</t>
  </si>
  <si>
    <t>Department of Meteorology of the Ministry of Agriculture and Natural resources of the republic of Cyprus.</t>
  </si>
  <si>
    <t>National Supervisory Authority</t>
  </si>
  <si>
    <t>ANS oversight</t>
  </si>
  <si>
    <t>NSA costs are recovered through user charges</t>
  </si>
  <si>
    <t>SAR</t>
  </si>
  <si>
    <t>SAR costs are partially recovered through user charges</t>
  </si>
  <si>
    <t>#1 - ATS/AIS provider (covering also CNS aspects)</t>
  </si>
  <si>
    <t>Senior management team</t>
  </si>
  <si>
    <t>#2 - MET provider</t>
  </si>
  <si>
    <t>#3 - Airspace Users</t>
  </si>
  <si>
    <t>#4 - Professional staff representative bodies</t>
  </si>
  <si>
    <t>ATC UNIONS (PASEEK + PASYDI + CYATCA)</t>
  </si>
  <si>
    <t>Minister of Transport, Perm. Secretary of the Ministry, Senior Administrative officers, Director DCAC, Head of NSA, NSA Senior Officers</t>
  </si>
  <si>
    <t>#5 - Ministry of Transport, Communications and Works</t>
  </si>
  <si>
    <t>No</t>
  </si>
  <si>
    <t>New system</t>
  </si>
  <si>
    <t>Master Plan (non-PCP)</t>
  </si>
  <si>
    <t>The national pension regulations and pension accounting regulations on which the assumptions are based are the ones which apply to the entire Public Sector and to all Civil Servants.</t>
  </si>
  <si>
    <t>The assumptions underlying the calculations of pension costs comprised in the determined costs are the ones which apply to the entire Public Sector and to all Civil Servants.</t>
  </si>
  <si>
    <r>
      <t xml:space="preserve">A new corporitised entity is planned to be established and operate as an ANSP providing ATS/AIS service (initially) and (quite likely) CNS services (at a later stage). This institutional stage will most certainly be associated with restructuring costs. However, at the time of writing, these costs cannot be estimated reliably. Therefore, a revised PP will be submitted when these costs are known.
</t>
    </r>
    <r>
      <rPr>
        <sz val="11"/>
        <color rgb="FFFF0000"/>
        <rFont val="Calibri"/>
        <family val="2"/>
        <charset val="161"/>
        <scheme val="minor"/>
      </rPr>
      <t>Please refer also to Annex T, which contains a letter addressed to the PRB, with which the Republic of Cyprus is formally raising awareness of this issue.</t>
    </r>
  </si>
  <si>
    <t>no</t>
  </si>
  <si>
    <t>N/A - Cyprus is outside the applicability area for this element.</t>
  </si>
  <si>
    <t>N/A - Cyprus is not included in the mandatory TMAs listed in section 1.2.1 of the Annex of the CP1 Regulation.</t>
  </si>
  <si>
    <t>N/A - Cyprus is not included in the mandatory PCP airports listed in section 2.2.1 of the Annex of the CP1 Regulation.</t>
  </si>
  <si>
    <t>N/A - Cyprus is not included in the mandatory PCP airports listed in section 2.2.2 of the Annex of the CP1 Regulation.</t>
  </si>
  <si>
    <t>N/A - Cyprus is not included in the mandatory PCP airports listed in section 2.2.3 of the Annex of the CP1 Regulation.</t>
  </si>
  <si>
    <t>DEPARTMENT OF CIVIL AVIATION OF CYPRUS - NSA</t>
  </si>
  <si>
    <t>Search and rescue service</t>
  </si>
  <si>
    <t>fraction of min</t>
  </si>
  <si>
    <t>EUR</t>
  </si>
  <si>
    <t>DCAC/ MET/NSA + SAR + INTL. AGREEMENTS</t>
  </si>
  <si>
    <t>While the investment is mostly performance driven, it will also facilitate the compliance with the following interoperability regulations and CP1 requirements:
CP1-AF6 - Initial Trajectory Information Sharing
(EU) No. 29/2009 - Datalink Services
(EU) No. 262/2009 - Mode-S</t>
  </si>
  <si>
    <t>6.1.1</t>
  </si>
  <si>
    <t xml:space="preserve">(EU) No. 29/2009 </t>
  </si>
  <si>
    <t>This function is expected to be implemented as part of the new ATM system (by 2023)</t>
  </si>
  <si>
    <t>There will be no new establishment or modification of charging zones.</t>
  </si>
  <si>
    <t>None</t>
  </si>
  <si>
    <t>Measures for improving the level of service provided, HR plans and associated costs.</t>
  </si>
  <si>
    <t>1 December 2020</t>
  </si>
  <si>
    <t xml:space="preserve">Positive - there is a common understanding on what needs to be done in order to improve performance. 
Areas of concern: pressure from AUs and the EC to reduce costs below the levels of 2019 whilst at the same time improving the capacity performance. </t>
  </si>
  <si>
    <t>The opinions of the AUs on the various aspects of the PP were noted and taken into account for its final elaboration.</t>
  </si>
  <si>
    <t xml:space="preserve">The ATC representatives were concerned with the pressure exerted on ANSPs to reduce their costs. </t>
  </si>
  <si>
    <t xml:space="preserve">7 July 2021 </t>
  </si>
  <si>
    <t>Charging policy will remain the same as before. There will be no charges for Terminal costs.</t>
  </si>
  <si>
    <t>HR recruitment plans as well as proposed investments are expected to contribute to the effort to reduce delays.  Every effort should be made to contain costs to the extent possible.</t>
  </si>
  <si>
    <t>The ATC representatives called on the NSA to insist on the implementation of the planned HR recruitments and investments necessary to maintain a safe level of service.</t>
  </si>
  <si>
    <t>2.0</t>
  </si>
  <si>
    <t>Revision of PP as required by EU 2020/1627 (Article 3)</t>
  </si>
  <si>
    <t>NEW ATM SYSTEM - PHASE 1</t>
  </si>
  <si>
    <t>NEW ATM SYSTEM - PHASE 2</t>
  </si>
  <si>
    <t xml:space="preserve">SURVEILLANCE (RADAR) INFRASTRUCTURE UPGRADES </t>
  </si>
  <si>
    <t>NSA/EUROCONTROL</t>
  </si>
  <si>
    <t>DCAC</t>
  </si>
  <si>
    <t>NSA</t>
  </si>
  <si>
    <t>There was general consensus between stakeholders that the plans and targets associated with the Safety and Environment KPAs were satisfactory. With regards to the capacity targets, the AUs noted that they were not entirely consistent with the NM reference values. With regards to the costs efficiency aspects, the two main stakeholders (ATS provider &amp; AUs) were of opposite opinions, with the latter insisting that the determined costs should be even lower than those presented.</t>
  </si>
  <si>
    <t>No disagreement on the charging policy which remains the same as in RP2. The AUs appreciated the fact that the State continues not to charge for Terminal costs.</t>
  </si>
  <si>
    <t>There is no decision to modulate performance targets.</t>
  </si>
  <si>
    <t>The simplified charging scheme will not be applied.</t>
  </si>
  <si>
    <t>Determined costs should be even higher so as to achieve satisfactory capacity performance by 2024 when air traffic will recover.</t>
  </si>
  <si>
    <t xml:space="preserve">Positive - there is a common understanding on what needs to be done in order to improve the level of service. 
Areas of concern: pressure from AUs and the EC to reduce costs below the levels of 2019 whilst at the same time maintaining the same level of performance. </t>
  </si>
  <si>
    <t>IATA, PRB, ATSp</t>
  </si>
  <si>
    <t>There were different opinions between the AUs and the ATS provider on the proposed level of determined costs.</t>
  </si>
  <si>
    <t>These are costs associated with the installation of appropriate electrical and data networks necessary for the new ACC to commence oprations.</t>
  </si>
  <si>
    <t>These are costs associated mainly with the replacement of end-of-life systems.</t>
  </si>
  <si>
    <r>
      <rPr>
        <b/>
        <sz val="11"/>
        <color theme="1"/>
        <rFont val="Calibri"/>
        <family val="2"/>
        <charset val="161"/>
        <scheme val="minor"/>
      </rPr>
      <t>ANSP:</t>
    </r>
    <r>
      <rPr>
        <sz val="11"/>
        <color theme="1"/>
        <rFont val="Calibri"/>
        <family val="2"/>
        <scheme val="minor"/>
      </rPr>
      <t xml:space="preserve"> Considers that the Investment plans are the minimum necessary to comply with the regulatory requirements for interoperability and to replace essential infrastructure which has reached the end-of-life. 
</t>
    </r>
    <r>
      <rPr>
        <b/>
        <sz val="11"/>
        <color theme="1"/>
        <rFont val="Calibri"/>
        <family val="2"/>
        <charset val="161"/>
        <scheme val="minor"/>
      </rPr>
      <t>Airspace Users:</t>
    </r>
    <r>
      <rPr>
        <sz val="11"/>
        <color theme="1"/>
        <rFont val="Calibri"/>
        <family val="2"/>
        <scheme val="minor"/>
      </rPr>
      <t xml:space="preserve"> Commented that they do not have sufficient information to assess the investment plans. The ATS provider invited the AUs to a bi-lateral meeting to discuss further details of the investment plans. </t>
    </r>
    <r>
      <rPr>
        <i/>
        <sz val="11"/>
        <color theme="1"/>
        <rFont val="Calibri"/>
        <family val="2"/>
        <charset val="161"/>
        <scheme val="minor"/>
      </rPr>
      <t>(The NSA has noted the comments of the AUs and has provided additional details on the new investments in tab 2.1).</t>
    </r>
  </si>
  <si>
    <r>
      <rPr>
        <b/>
        <sz val="11"/>
        <color theme="1"/>
        <rFont val="Calibri"/>
        <family val="2"/>
        <charset val="161"/>
        <scheme val="minor"/>
      </rPr>
      <t>ANSP + Airspace Users (AUs):</t>
    </r>
    <r>
      <rPr>
        <sz val="11"/>
        <color theme="1"/>
        <rFont val="Calibri"/>
        <family val="2"/>
        <scheme val="minor"/>
      </rPr>
      <t xml:space="preserve"> No disagreement for the use of STATFOR base estimates.</t>
    </r>
  </si>
  <si>
    <r>
      <rPr>
        <b/>
        <sz val="11"/>
        <color theme="1"/>
        <rFont val="Calibri"/>
        <family val="2"/>
        <charset val="161"/>
        <scheme val="minor"/>
      </rPr>
      <t>ANSP:</t>
    </r>
    <r>
      <rPr>
        <sz val="11"/>
        <color theme="1"/>
        <rFont val="Calibri"/>
        <family val="2"/>
        <scheme val="minor"/>
      </rPr>
      <t xml:space="preserve"> Determined costs should be higher. 
</t>
    </r>
    <r>
      <rPr>
        <b/>
        <sz val="11"/>
        <color theme="1"/>
        <rFont val="Calibri"/>
        <family val="2"/>
        <charset val="161"/>
        <scheme val="minor"/>
      </rPr>
      <t>Airspace Users:</t>
    </r>
    <r>
      <rPr>
        <sz val="11"/>
        <color theme="1"/>
        <rFont val="Calibri"/>
        <family val="2"/>
        <scheme val="minor"/>
      </rPr>
      <t xml:space="preserve"> Determined costs should be lower. </t>
    </r>
  </si>
  <si>
    <t>In this phase the new system will include limited PCP related functionalities.</t>
  </si>
  <si>
    <r>
      <rPr>
        <b/>
        <sz val="11"/>
        <color theme="1"/>
        <rFont val="Calibri"/>
        <family val="2"/>
        <charset val="161"/>
        <scheme val="minor"/>
      </rPr>
      <t xml:space="preserve">ANSP: </t>
    </r>
    <r>
      <rPr>
        <sz val="11"/>
        <color theme="1"/>
        <rFont val="Calibri"/>
        <family val="2"/>
        <scheme val="minor"/>
      </rPr>
      <t xml:space="preserve">No disagreement on the proposed incentive scheme.
</t>
    </r>
    <r>
      <rPr>
        <b/>
        <sz val="11"/>
        <color theme="1"/>
        <rFont val="Calibri"/>
        <family val="2"/>
        <charset val="161"/>
        <scheme val="minor"/>
      </rPr>
      <t>Airspace Users:</t>
    </r>
    <r>
      <rPr>
        <sz val="11"/>
        <color theme="1"/>
        <rFont val="Calibri"/>
        <family val="2"/>
        <scheme val="minor"/>
      </rPr>
      <t xml:space="preserve"> An asymmetric scheme is recommended, so as to be more penalizing in case the capacity targets are not met </t>
    </r>
    <r>
      <rPr>
        <i/>
        <sz val="11"/>
        <color theme="1"/>
        <rFont val="Calibri"/>
        <family val="2"/>
        <charset val="161"/>
        <scheme val="minor"/>
      </rPr>
      <t>(suggestion adopted)</t>
    </r>
  </si>
  <si>
    <t>HR recruitment plans as well as proposed investments are expected to contribute to the effort to improve the level of service.</t>
  </si>
  <si>
    <t xml:space="preserve">The performance targets for all KPAs, focusing especially on the cost efficiency aspects. Presentation of the efforts to constraint costs in view of the pandemic, leading to a significantly lower determined costs compared to the original PP submission of 2019. </t>
  </si>
  <si>
    <t>The application of an asymmetric incentive scheme appears to be a reasonable suggestion under the circumstances.</t>
  </si>
  <si>
    <t xml:space="preserve">The Minister requested the NSA to highlight to the EC that Cyprus remains among the cheapest Member States with respect to user charges despite the difficulties and the volatility it is facing due to the geopolitical situation in the region. </t>
  </si>
  <si>
    <r>
      <rPr>
        <b/>
        <sz val="11"/>
        <color theme="1"/>
        <rFont val="Calibri"/>
        <family val="2"/>
        <scheme val="minor"/>
      </rPr>
      <t>ANSP:</t>
    </r>
    <r>
      <rPr>
        <sz val="11"/>
        <color theme="1"/>
        <rFont val="Calibri"/>
        <family val="2"/>
        <scheme val="minor"/>
      </rPr>
      <t xml:space="preserve"> No disagreement of the proposed dead band.
</t>
    </r>
    <r>
      <rPr>
        <b/>
        <sz val="11"/>
        <color theme="1"/>
        <rFont val="Calibri"/>
        <family val="2"/>
        <scheme val="minor"/>
      </rPr>
      <t xml:space="preserve">Airspace Users: </t>
    </r>
    <r>
      <rPr>
        <sz val="11"/>
        <color theme="1"/>
        <rFont val="Calibri"/>
        <family val="2"/>
        <scheme val="minor"/>
      </rPr>
      <t xml:space="preserve">An asymmetric dead band is recommended, so as to be more penalizing in case the capacity targets are not met </t>
    </r>
    <r>
      <rPr>
        <i/>
        <sz val="11"/>
        <color theme="1"/>
        <rFont val="Calibri"/>
        <family val="2"/>
        <charset val="161"/>
        <scheme val="minor"/>
      </rPr>
      <t>(suggestion adopted)</t>
    </r>
  </si>
  <si>
    <t>A new ATM system, comprising both hardware and software components, to enable the operation of at least 10 ATC sectors at Nicosia ACC. During Phase 2, the new software will be installed in both the main and the backup systems. New hardware will be installed and the service will be provided at the new ACC. Shadow mode operations are planned during the transition from the old to the new ACC. Additional ATC sectors will be available at the new Centre.</t>
  </si>
  <si>
    <t xml:space="preserve">The new system will include PCP related functionalities (e.g. AMAN, datalink etc.) </t>
  </si>
  <si>
    <t>The new system will facilitate the operation of more ATC sectors, leading to an increase in capacity, hence less delays.
The new system will also be most robust and resilient, therefore safety will be enhanced.
New features, like datalink and trajectory information sharing will enhance the efficiency of the air traffic management function, hence increasing the system capacity.</t>
  </si>
  <si>
    <t>The most significant new investment planned for MET (albeit, at a cost much lower than 5 million Euros) will be the replacement of the ageing Automatic Weather Observation System (AWOS) – the cost of this investment is approximately EUR 2 million and it will be implemented in three phases. This system will be used 100% for ANS purposes and the MET info will be made available at the Nicosia ACC.
Other new investments include essential building and infrastructure improvements.</t>
  </si>
  <si>
    <t>The ANSP itself cannot take such actions since it is a State entity and the pensions policy applies to all Civil Servants.</t>
  </si>
  <si>
    <t>Short-term ATFCM measures (STAM) are already implemented at the Nicosia ACC. They include measures to smooth sector workloads by reducing traffic peaks through short-term application of e.g. minimum departure intervals, appropriate flight level capping, timing of ATC re-sectorisation.</t>
  </si>
  <si>
    <r>
      <t xml:space="preserve">The Cyprus NSA has established a documented procedure titled </t>
    </r>
    <r>
      <rPr>
        <i/>
        <sz val="11"/>
        <color theme="1"/>
        <rFont val="Calibri"/>
        <family val="2"/>
        <scheme val="minor"/>
      </rPr>
      <t>"NSA Procedure on Performance Monitoring of Air Navigation Service Providers"</t>
    </r>
    <r>
      <rPr>
        <sz val="11"/>
        <color theme="1"/>
        <rFont val="Calibri"/>
        <family val="2"/>
        <scheme val="minor"/>
      </rPr>
      <t xml:space="preserve"> for the purpose of monitoring ANS performance in all KPAs. 
With respect to investments, the NSA has developed a web-based tool to monitor the progress and actual costs incurred for each new and existing project. A demo of this tool can be found here:  https://airtable.com/shrvvlsz5Go8V9owb  
In the capacity KPA, a quarterly monitoring process is foressen. In the safety area, a bi-annual process is foreseen, or more frequently, if there are trends which indicate that there is a need to address any emerging risks. The cost efficiency and environmental areas will be monitored on an annual basis, in accordance with the applicable regulatory requirements.</t>
    </r>
  </si>
  <si>
    <t>The achievement of PTs will be monitored at regular intervals as defined in the above mentioned NSA procedure.
Each PT will be associated with an alert threshold, which, if reached, will trigger an action on behalf of the NSA. The action will be decided by the NSA on an ad hoc basis, but will include, as a minimum, a notification to the ANSP that an alert threshold has been reached and a request for explanations and/or justification, as may be appropriate will be required.</t>
  </si>
  <si>
    <t>ANNEX A.1 - En route Charging Zone #1</t>
  </si>
  <si>
    <t xml:space="preserve">No change from RP2 - The calculations are made in accordance with the applicable regulation for the calculation of pensions of civil servants and an actuarial study commissioned by the Ministry of Finance. </t>
  </si>
  <si>
    <t>AWOS  replacement</t>
  </si>
  <si>
    <t>Depreciation seems to be increasing because the project will be executed in 3 phases with different dates of implementation. The cost indicated is an aggregation of these costs</t>
  </si>
  <si>
    <t xml:space="preserve">The CRCO traffic correction factor for M2/M3 methodology (-0.85%) has been applied to the 2014  Baseline total Service units </t>
  </si>
  <si>
    <t xml:space="preserve">The CRCO traffic correction factor for M2/M3 methodology (-0.85%) has been applied to the 2019  Baseline total Service units </t>
  </si>
  <si>
    <t>ASM tools to support AFUA and full rolling ASM/ATFCM process and ASM information sharing are implemented.  Cyprus has implemented LARA Tool according to the signed agreement with EUROCONTROL and sends AUP/UUP on a daily basis. ATM System updates for the exchange of real time airspace data will be considered with the new ATM system (Planned for implementation by the end of 2022).</t>
  </si>
  <si>
    <t>This is already work in progress (in coordination with the NM) - planned for implementation by the end of 2022.</t>
  </si>
  <si>
    <t>Not applicable for Cyprus airports</t>
  </si>
  <si>
    <t>The implementation of the Aeronautical Information Exchange capabilities is planned for implementation by the end of 2024.</t>
  </si>
  <si>
    <t>Local forecast</t>
  </si>
  <si>
    <t>Revision of PP to reflect the updated STATFOR forecasts of October 2021 and some initial feedback by the EC on the previous submission</t>
  </si>
  <si>
    <t xml:space="preserve">Capacity improvements can be achieved, inter alia, through airspace re-configuration and restructuring. The general principle to be adhered in such cases is that air traffic routes should be as short and direct as possible. In this respect, any effort to improve capacity will not adversely affect the environment performance target. The implementation of FRA which is planned in 2022 is expected to have additional environmental benefits. </t>
  </si>
  <si>
    <t xml:space="preserve">At the moment, no other interdependencies are identified. </t>
  </si>
  <si>
    <t>Necessary requirements have been identified and work is ongoing so as to implement the proper tools in the ACC's ATM system - target date: 31 December 2022</t>
  </si>
  <si>
    <t xml:space="preserve">No project above 5 mil. Euros (i.e. major) is planned </t>
  </si>
  <si>
    <t>Correction on the application of the Cost of Capital methodology</t>
  </si>
  <si>
    <t xml:space="preserve">The methodology used for calculating the sum of the average net book value of fixed assets in RP2 was applied incorrectly. It is now applied in the correct manner. 
</t>
  </si>
  <si>
    <t xml:space="preserve">The methodology used for calculating the sum of the average net book value of fixed assets in RP2 was applied incorrectly. It is now applied in the correct manner. 
</t>
  </si>
  <si>
    <r>
      <rPr>
        <sz val="11"/>
        <color rgb="FFFF0000"/>
        <rFont val="Calibri"/>
        <family val="2"/>
        <charset val="161"/>
        <scheme val="minor"/>
      </rPr>
      <t xml:space="preserve">* </t>
    </r>
    <r>
      <rPr>
        <sz val="11"/>
        <color theme="1"/>
        <rFont val="Calibri"/>
        <family val="2"/>
        <scheme val="minor"/>
      </rPr>
      <t>CNS services are provided in Cyprus by a certified ANSP (Cyta). The two ANSPs (DCAC and Cyta) have concluded a formal arrangement, according to which, DCAC (i.e. the ATSp) is accountable for the performance of all three services (ATS, AIS and CNS). In this respect, for the purposes of this PP, only 2 ANSPs are being considered.</t>
    </r>
  </si>
  <si>
    <r>
      <t>ATS/CNS</t>
    </r>
    <r>
      <rPr>
        <sz val="12"/>
        <color rgb="FFFF0000"/>
        <rFont val="Calibri"/>
        <family val="2"/>
        <charset val="161"/>
        <scheme val="minor"/>
      </rPr>
      <t>*</t>
    </r>
    <r>
      <rPr>
        <sz val="12"/>
        <color theme="1"/>
        <rFont val="Calibri"/>
        <family val="2"/>
        <scheme val="minor"/>
      </rPr>
      <t>/AIS</t>
    </r>
  </si>
  <si>
    <t>3.0</t>
  </si>
  <si>
    <t>#6 - ATS/AIS provider (covering also CNS aspects)</t>
  </si>
  <si>
    <t>2021A</t>
  </si>
  <si>
    <t xml:space="preserve">New PENS is already operational as from 2020 with some services (e.g. AMHS) are already using it. </t>
  </si>
  <si>
    <t>Investment plans, Capacity enhancement measures, HR plans and associated costs.</t>
  </si>
  <si>
    <t>Capacity enhancement measures, HR plans and associated costs.</t>
  </si>
  <si>
    <t>#7 - Professional staff representative bodies</t>
  </si>
  <si>
    <t>#8 - Airspace Users</t>
  </si>
  <si>
    <t xml:space="preserve">Positive - there is a common understanding on what needs to be done in order to improve performance. 
Areas of concern: Same as previous consultation: pressure from AUs and the EC to reduce costs below the levels of 2019 whilst at the same time improving the capacity performance. </t>
  </si>
  <si>
    <t xml:space="preserve">Cyprus recognises the need to respond to the recovering air traffic demand after the COVID19 era and is planning measures to respond to this expectation. HR and investment plans will enable the operation of more ATC sectors by 2024 and will enable a significantly improved capacity performance when compared to 2019. The proposed targets are consistent with the NM's reference values. Some air traffic delays are expected during the period of transitioning to the new ATM system.
</t>
  </si>
  <si>
    <t>The implementation of an IP network is planned to be implemented by the end of 2023.</t>
  </si>
  <si>
    <t>Planned for implementation by the end of 2024 or early in RP4.</t>
  </si>
  <si>
    <t>New ACC essential infrastructure (RP3-BLDG/INFRA-2, CAPEX: €3,133,740)</t>
  </si>
  <si>
    <t>Traffic Forecasts have been updated using the latest STATFOR forecast dated 3/6/2022</t>
  </si>
  <si>
    <t>"NORMALISED"</t>
  </si>
  <si>
    <t>New ATM system at the new ACC (Phase 2: CAPEX: €5,223,949). The costs above are 20% of the total investment, to justify only the additional ATC sectors</t>
  </si>
  <si>
    <t>A new ATM system, comprising both hardware and software components, to enable the operation of at least 10 ATC sectors at Nicosia ACC. During Phase 1, the new software will be installed in the backup system so as to test its robustness. The service will be provided at the existing ACC. Some of the new software functionalities will be installed also in the main system.</t>
  </si>
  <si>
    <t>ESSENTIAL INFRASTRUCTURE WORKS at the  new ACC</t>
  </si>
  <si>
    <t>Revision of PP to address inconsistencies identified in EU Decision 2022-728</t>
  </si>
  <si>
    <t>1. Current status of the revision process
2. Capacity considerations
3. Cost efficiency considerations</t>
  </si>
  <si>
    <t>The NSA to consider the staff representatives' feedback for the final revision of the PP</t>
  </si>
  <si>
    <t xml:space="preserve">
1. The staff representatives acknowledged the benefits of the recent harmonization of ATCO salary scales and are encouraging the ANSP management to expedite the update of the Scheme of Services (Σχέδια Υπηρεσίας) so as to commence making use of the improved flexibility for allocating staff in ATC Units in accordance with operational needs.
2. Staff would like to engage more in the planning of investments as they can provide opinions based on their day to day experience at the Units (e.g. the replacement of the primary radar is much more important from a safety perspective compared to other projects which are done mostly to comply with regulations).
3. Staff planning is made without consideration to the ageing of ATCOs. It is assumed that all front-line ATCOs can remain operational until retirement age (now 65 years). This is too optimistic.
</t>
  </si>
  <si>
    <t xml:space="preserve">New and existing investments are associated with all CNS sub-domains and range from ATM system to surveillance infrastructure upgrades. The overarching goal of the investement plan is to develop  sufficient technical capabilities in all areas so as to support the effort to operate more ATC sectors and to reduce delays. Furthermore, the current levels of safety need to be maintained by replacing end-of-life systems in a timely manner. Lastly, the applicable interoperability regulations as well as the SESAR Masterplan must be duly considered for the implementation of new ATM functionalities.
The NSA has developed an online tools to monitor the progress and actual costs incurred for each new and existing investment. A demo of this tool can be found here:  https://airtable.com/shrgIJueVm5Tmhhks   </t>
  </si>
  <si>
    <t>The RP3 questionnaire is different (more "demanding") than the one in RP2 - in this respect, conservative targets have been set.</t>
  </si>
  <si>
    <t xml:space="preserve">Significant efforts for cost containment in 2020 + 2021 have already been made. These included the rescheduling of investements and ATCO recruitements. Staff costs were also reduced as a result of less overtime pay. 
It should be noted that a significant proportion of ANSP costs are fixed. Investment costs are essential to ensure compliance with the interoperability/SESAR MP requirements, to replace end of life systems and/or to have the right infrastructure and equipment in place to facilitate the achievement of the capacity targets. </t>
  </si>
  <si>
    <t xml:space="preserve">During the process of the elaboration of this draft revised PP, the NSA has verified compliance of the cost base for charges with the requirements of Article 15(2) of Reg. 550/2004 and Article 22 of IR 2019/317. When a need for corrections was identified, these were applied to the cost base. For example, the cost of capital was adjusted downwards, in accordance with the latest guidance provided by the PRB in September 2021.
</t>
  </si>
  <si>
    <r>
      <rPr>
        <b/>
        <sz val="12"/>
        <color theme="1"/>
        <rFont val="Calibri"/>
        <family val="2"/>
        <scheme val="minor"/>
      </rPr>
      <t>HR aspects:</t>
    </r>
    <r>
      <rPr>
        <sz val="12"/>
        <color theme="1"/>
        <rFont val="Calibri"/>
        <family val="2"/>
        <scheme val="minor"/>
      </rPr>
      <t xml:space="preserve"> Gradual increase of the number of ATCOs.
</t>
    </r>
    <r>
      <rPr>
        <b/>
        <sz val="12"/>
        <color theme="1"/>
        <rFont val="Calibri"/>
        <family val="2"/>
        <scheme val="minor"/>
      </rPr>
      <t>Technical aspects:</t>
    </r>
    <r>
      <rPr>
        <sz val="12"/>
        <color theme="1"/>
        <rFont val="Calibri"/>
        <family val="2"/>
        <scheme val="minor"/>
      </rPr>
      <t xml:space="preserve"> The ATM system and associated infrastructure must be capable of operating addtional ATC sectors compared to the number operating in 2019.
</t>
    </r>
    <r>
      <rPr>
        <b/>
        <sz val="12"/>
        <color theme="1"/>
        <rFont val="Calibri"/>
        <family val="2"/>
        <scheme val="minor"/>
      </rPr>
      <t xml:space="preserve">Operational aspects: </t>
    </r>
    <r>
      <rPr>
        <sz val="12"/>
        <color theme="1"/>
        <rFont val="Calibri"/>
        <family val="2"/>
        <scheme val="minor"/>
      </rPr>
      <t xml:space="preserve">Operational improvements are largely cost neutral as they relate to improved procedures (e.g. ATFM techniques) or airspace design improvements (e.g. FRA). </t>
    </r>
  </si>
  <si>
    <r>
      <t xml:space="preserve">Increase number of ATCOs by 25%
</t>
    </r>
    <r>
      <rPr>
        <sz val="14"/>
        <color theme="1"/>
        <rFont val="Calibri"/>
        <family val="2"/>
        <charset val="161"/>
        <scheme val="minor"/>
      </rPr>
      <t>Detailed calculations for the figure in row 18 are shown below:</t>
    </r>
    <r>
      <rPr>
        <b/>
        <sz val="14"/>
        <color theme="1"/>
        <rFont val="Calibri"/>
        <family val="2"/>
        <charset val="161"/>
        <scheme val="minor"/>
      </rPr>
      <t xml:space="preserve">
</t>
    </r>
  </si>
  <si>
    <t>Most measures or projects referred to in this Performance Plan, are potentially associated with safety implications. e.g.the introduction of a new ATM system in order to enable the operation of additional ATC sectors (hence improve the capacity) is associated with a number of safety hazards (e.g. temporary loss of an essential ATM function). These are mitigated in accordance with the usual safety risk management practices which are documented in the ANSP's SMS. In the example given, a contigency ATM system (albeit with a smaller number of ATC sectors) will be available, so as to ensure continuity of service.</t>
  </si>
  <si>
    <t xml:space="preserve">The assumptions are:
1. Safety will always have the highest priority.
2. Capacity and cost efficiency improvements will be pursued to the extent that the safety levels will not be adversely affected. </t>
  </si>
  <si>
    <t>The NSA monitors, through regular audits and inspections the number of serious safety occurrences and analyses the results so as to identify areas of safety concern and any adverse trends. This is done to ensure that corrective measures are being taken in order to reduce safety risk in the areas of concern. Special emphasis is given to ATFM related safety occurrences (i.e. traffic overloads) as these are closely linked with the drive to improve performance in the capacity KPA.</t>
  </si>
  <si>
    <t xml:space="preserve">There is no direct correlation between performance targets which are set at strategic level and trade offs in operational decision making. At tactical level, the general principles mentioned above is respected, i.e. 
1. Safety will always have the highest priority.
2. Capacity and cost efficiency improvements will be pursued to the extend that the safety levels will not be adversely affected. </t>
  </si>
  <si>
    <t xml:space="preserve">Software compatible with IWXXM has already been purchased and is currently being checked for operational use. Target date: mid to end of 2022 </t>
  </si>
  <si>
    <t>No difference</t>
  </si>
  <si>
    <t>1. Current status of the revision process
2. Capacity considerations
3. Cost efficiency considerations
4. Investment Plan
5. Cost allocation principles (including for SAR)
6. Staff evolution (including concerns regarding the aging of the ATCOs)
7. Year to year evolution of the Performance plan</t>
  </si>
  <si>
    <t xml:space="preserve">At the time of writing the COVID situation is stable and the outlook is positive. However, volatility of air traffic demand is still a significant consideration with respect to performance planning since the pandemic is not over and there is always the risk of deterioration. In such a case, the  traffic demand is expected to flactuate again quite rapidly, depending on the reactive measures which will be taken. 
Operationally, the service providers have now more experience in managing the pandemic situation and, if needed, they can revert to solutions which they applied in the past.
From a financial perspective, the ANSPs are still public sector entities and therefore they do not face immediate cash-flow problems. However, it is estimated that the pandemic will have long-term financial effects on the entire State which may eventually impact the Service Providers (e.g. through the application of "horizontal" cost cutting measures, such as the freezing of new recruitments).
</t>
  </si>
  <si>
    <t xml:space="preserve">Cyprus is in a turbulant region of the world, where geopolitical changes are frequent and, often, dramatic. For this reason, air traffic volatility is very high and traffic forecasts are often wrong, mainly as a result of external factors. Furthermore, geopolitical changes can significantly alter the air traffic flows, creating new hotspots and signigificant capacity contraints. 
The overall financial impact of the pandemic is still being assessed. However, the current economic indicators paint a pessimistic picture for Cyprus. Inflation is rising, unemployment is also rising and the tourist sector is seriously affected by the Ukraine-Russian war and the measures taken against Russia. These measures have practically eliminated the connectivity and the traffic flow between Russia and Cyprus. As a result, the revenues from charges for the use of airspace are also reduced. 
</t>
  </si>
  <si>
    <t>The opinions of the AUs on the various aspects of the PP were noted and duly considered for its finalisation.</t>
  </si>
  <si>
    <t xml:space="preserve">1. All efforts should be made so that the revision will lead to the approval of the PP
2. Assumptions related to SAR shall be reviewed further so as to consider possible further improvements
3. Operating costs, especially those related to AIREON, shall be reviewed further so as to consider possible further improvements
4. The Investment Plan can be discussed in further detail in a future bilateral meeting with the ATSp
5. The NSA to consider the staff representatives' feedback for the final revision of the PP
</t>
  </si>
  <si>
    <r>
      <rPr>
        <b/>
        <sz val="12"/>
        <color theme="1"/>
        <rFont val="Calibri"/>
        <family val="2"/>
        <scheme val="minor"/>
      </rPr>
      <t xml:space="preserve">NOTE: </t>
    </r>
    <r>
      <rPr>
        <sz val="12"/>
        <color theme="1"/>
        <rFont val="Calibri"/>
        <family val="2"/>
        <scheme val="minor"/>
      </rPr>
      <t>New investments with total value of 2 million Euros or above is shown here. A number of additional investments of smaller value are planned during RP3.</t>
    </r>
    <r>
      <rPr>
        <sz val="12"/>
        <color theme="1"/>
        <rFont val="Calibri"/>
        <family val="2"/>
        <scheme val="minor"/>
      </rPr>
      <t xml:space="preserve">
These were presented during the consultation with the Airspace Users on 7/7/2022.</t>
    </r>
  </si>
  <si>
    <t xml:space="preserve">1. Enhancement of ATSp staffing levels (management + ATCOs) via a continuous recruitment process,
2. Implementation of major investements for the upgrading of necessary ATM infrastructure which will enable the operation of additional ATC sectors (mainly, a new ATM system and a relocation to  a new ACC).
3. Implementation of an operational excellence project with NM assistance + additional airspace restructuring activities (e.g. FRA),
4. Improvement of air traffic flow and capacity management techniques, 
</t>
  </si>
  <si>
    <t>The numbers above refer to en-route ACC ATCOs. It should be noted that ATCOs usually work on average 20% more than their contractual hours (i.e. on an overtime basis). Therefore, with respect to operating more ATC sectors, the absolute numbers noted above will be effectively higher.
It should also be noted that, in December 2021, an agreement was reached with the Unions to improve the flexibility with which ATCOs are appointed to or transferred between ATC Units and to facilitate the operation of a new ATC sector at Larnaca Airport (as an extension of the ACC main ATM system). This new ATC sector will enable the provision of Approach Control Service with surveillance (by the end of RP3). On the basis of the said agreement, there are ongoing efforts to modify further the ATCO employment contract (the so called "scheme of services") so as to reduce the time period between initial recruitement and assuming duties in the OPS room.
In any case, the recruitment plan for new ATCOs will continue to be implemented so that the en-route service will continue to be provided without significant capacity constraints. 
During the consultation with the ATC Unions, it was agreed to consider the issue with the ageing of ATCOs which is the result of the extension of the retirement age. The Airspace Users also questioned the NSA (during the consultation meeting) whether the ageing issue had been addressed. The NSA considered these comments fair and it has revised downwards the ATCO number of 2024. The corresponding staff costs have been deducted from the cost base. 
The transfer to the new ACC which is expected to take place in early to mid-2023 is expected to be the source of some air traffic delays, which, however, will be of temporary nature.  The ATSp will endeavour to make the tranfer during a low traffic periods so that the effect on the European Network will not be significant. All effort shall be made so that any project task associated with the transfer (e.g. shadowing operations) will not reduce the human resources (ATCOs) needed to provide the necessary capacity in the en-route sector.                                                                                                                                                                                                                  
In conclusion, some air traffic delays may be attributed to these restructuring developments. The changes have been assessed by the NM and are referenced in the latest edition of the NOP. The NM concludes that the ATSp action plan will enable net capacity benefits by the end of the Reference Period.</t>
  </si>
  <si>
    <t>DATALINK implementation. The costs above are 20% of the total investment, to justify the estimated impact of datalink on capacity improvements.</t>
  </si>
  <si>
    <t>Optimised ATS route network, assisted by the NM + FRA implementation.
The costs above are 50% of the total project costs. They include the man-hours spent on the airspace design, safety assessment meetings, simulations, meetings/coordination with the NM and neigbouring States.</t>
  </si>
  <si>
    <r>
      <rPr>
        <b/>
        <sz val="12"/>
        <rFont val="Calibri"/>
        <family val="2"/>
        <scheme val="minor"/>
      </rPr>
      <t>HR aspects:</t>
    </r>
    <r>
      <rPr>
        <sz val="12"/>
        <rFont val="Calibri"/>
        <family val="2"/>
        <scheme val="minor"/>
      </rPr>
      <t xml:space="preserve"> Gradual increase of the number of ATCOs in accordance with an ambitious recruitement scheme. By 2024 the number of ATCOs sho</t>
    </r>
    <r>
      <rPr>
        <sz val="12"/>
        <color theme="1"/>
        <rFont val="Calibri"/>
        <family val="2"/>
        <charset val="161"/>
        <scheme val="minor"/>
      </rPr>
      <t xml:space="preserve">uld be 25-30 % </t>
    </r>
    <r>
      <rPr>
        <sz val="12"/>
        <rFont val="Calibri"/>
        <family val="2"/>
        <scheme val="minor"/>
      </rPr>
      <t xml:space="preserve">higher than the numbers of 2019 so as to enable the operation of additional ATC sectors. Management staff will also need to recruited to address the organisational aspects of the ANSP and which would also facitilate the efforts to improve its capacity performance. The detailed ATCO planning appears also in tab  
</t>
    </r>
    <r>
      <rPr>
        <b/>
        <sz val="12"/>
        <rFont val="Calibri"/>
        <family val="2"/>
        <scheme val="minor"/>
      </rPr>
      <t>Technical aspects:</t>
    </r>
    <r>
      <rPr>
        <sz val="12"/>
        <rFont val="Calibri"/>
        <family val="2"/>
        <scheme val="minor"/>
      </rPr>
      <t xml:space="preserve"> The ATM system and associated infrastructure must be capable of operating addtional ATC sectors compared to the number operating in 2019. This will require both, an ATM system upgrade and a relocation to a new ACC (the current location cannot physically host the additional sectors).
</t>
    </r>
    <r>
      <rPr>
        <b/>
        <sz val="12"/>
        <rFont val="Calibri"/>
        <family val="2"/>
        <scheme val="minor"/>
      </rPr>
      <t xml:space="preserve">Operational aspects: </t>
    </r>
    <r>
      <rPr>
        <sz val="12"/>
        <rFont val="Calibri"/>
        <family val="2"/>
        <scheme val="minor"/>
      </rPr>
      <t>Operational improvements are largely cost neutral as they relate to improved procedures (e.g. ATFM techniques) or airspace design improvements (e.g. FRA). The implementation of the new APS service at Larnaca airport will largely be absorbed by the State in the context of its policy not to charge terminal fees. Nevertheless, some costs associated with the APS service will be allocated to the en-route part. This is justified, in view of the fact that the new APS service will absorb a certain portion of the en-route traffic to reduce the en-route workload (hence, delays).</t>
    </r>
  </si>
  <si>
    <t xml:space="preserve">NOTE: Section 1.3 (Stakeholder Consultation) includes details on the consultation with airspace users' representatives on new major investments. 
</t>
  </si>
  <si>
    <t>NOTE: Section 1.3 (Stakeholder Consultation) should include details on the consultation with airspace users' representatives on new major investments.
With respect to the total of new and existing investments, the value of the assets allocated to ANS in the scope of the PP is lower than the total value of the asset  because some investments which are exclusive in the aerodrome domain are not charged to the airspace users (e.g. replacement of the ILS).</t>
  </si>
  <si>
    <r>
      <rPr>
        <b/>
        <sz val="11"/>
        <color theme="1"/>
        <rFont val="Calibri"/>
        <family val="2"/>
        <charset val="161"/>
        <scheme val="minor"/>
      </rPr>
      <t>NOTE:</t>
    </r>
    <r>
      <rPr>
        <sz val="11"/>
        <color theme="1"/>
        <rFont val="Calibri"/>
        <family val="2"/>
        <scheme val="minor"/>
      </rPr>
      <t xml:space="preserve"> With respect to the total of new and existing investments, the value of the assets allocated to ANS in the scope of the PP is lower than the total value of the asset  because some investments which are exclusive in the aerodrome domain are not charged to the airspace users .</t>
    </r>
  </si>
  <si>
    <t>No project above 5 mil. Euros (i.e. major) is planned.</t>
  </si>
  <si>
    <t xml:space="preserve"> </t>
  </si>
  <si>
    <t xml:space="preserve">The targets set are in compliance with the Union-wide safety Targets.                  </t>
  </si>
  <si>
    <t>Costs for additional ATCOs  in the en-route sector, additional ATC sectors and associated infrastructure, as well as technical improvements and operational excellence projects fully justify the cost deviation (€ 3.19M Vs.3,17M)</t>
  </si>
  <si>
    <t>The most major ATM system improvement foreseen in RP3 is the installation of a new ATM system in a new ACC location. The transition plan for the move to the new ACC foresees a period of shadow operations which will inevitably require resources to operate both ACCs simultaneously for a short period of time. The mitigation for this will be that the transition and shadow mode operations will be done in the lowest traffic demand period.
An additional change, is the establishment of a radar Approach Unit at Larnaca Airport. This includes also the reduction of the longitudinal separation standards in the TMA, from 10 to 5 NM. In this case, the transition plan foresees a period when the service will be provided only for a few hours each day, with the TWR being ready to take over in case there are any issues or unserviceabilities.
With regards to airspace changes, an improved network with Israel and Greece has already been implemented in early 2020. Night FRA is planned for December 2022 and FRA Phase 2 is foreseen in early RP4. 
For all the above, change management process, in general, is as follows:  
- The process starts with a clear definition of the operational requirements.
- Thereafter, the service is specified and justified by a safety support assessment. This is provided by the supporting service providers (e.g. CNSp, MET).
- Then, the ATS provider conducts a safety assessment to identify hazards and to mitigate any risks to air traffic. Mitigations include training and simulations. 
- The NSA oversees the process, verifies that applicable regulatory requirements have been complied with and eventually approves the change.
The process described above is compliant with the requirements of (EU) 2017/373.</t>
  </si>
  <si>
    <t>Re-uploaded, to address minor observations after the initial completeness check by the PRB</t>
  </si>
  <si>
    <r>
      <t xml:space="preserve">The local CEF targets are not fully aligned with the pan-european targets as only one of the assessment criteria is fully met.
The cost deviation is due to the need to invest more in HR and technical infrastructure upgrades in order to operate more ATC sectors by the end of the reference period. It would be unrealistic to expect that in 2024 the services would be provided at a cost which is lower than that of 2019, whilst at the same time eliminating much of the delays which were recorded at that same year. Given that STAFOR foresees that,  in 2023, the traffic levels will already exceed those of 2019 then additional costs are justified to improve the issue of delays.
The Republic of Cyprus would also like to highlight that it is choosing not to charge any terminal costs to the airspace users flying to and from the island. Had such costs been applied then the </t>
    </r>
    <r>
      <rPr>
        <u/>
        <sz val="12"/>
        <rFont val="Calibri"/>
        <family val="2"/>
        <charset val="161"/>
        <scheme val="minor"/>
      </rPr>
      <t>total</t>
    </r>
    <r>
      <rPr>
        <sz val="12"/>
        <rFont val="Calibri"/>
        <family val="2"/>
        <scheme val="minor"/>
      </rPr>
      <t xml:space="preserve"> determined costs (en-route+terminal) would have been approximately €50M higher (for the whole RP3 period). Cyprus considers that this should be regarded as an indirect (albeit partial) reimbursement to AUs for the unused CAPEX from RP2.</t>
    </r>
  </si>
  <si>
    <t>A new corporitised entity is planned to be established and operate as an ANSP providing ATS/AIS service (initially) and (quite likely) CNS services (at a later stage). This institutional stage will most certainly be associated with restructuring costs. However, at the time of writing, these costs cannot be estimated reliably, hence they have not been included in the cost base. A revised PP may be submitted when these costs are known.</t>
  </si>
  <si>
    <t xml:space="preserve">Yes, it has, and the result was that the ANSP SMS function needs to be enhanced with permanent staff. Following this assessment the ANSP is currently finalising a formal recruitment process to employ a full-time safety manager and one supporting SMS officer. They will be tasked with implementation of the main SMS processes i.e. safety promotion, safety improvement, safety assurance and safety risk management for the changes to be introduced to achieve targets in other KPAs. The recruitment process was postponed during the pandemic but it restarted in 2022. 
In order to achieve the challenging EOSM targets, the ANSP has recently updated its recruitment plan and the supporting SMS officers increased from 1 to 3. The NSA has verified that the recruitment of these officers has been completed in mid-July 2022 and that they are now full-time employees.  </t>
  </si>
  <si>
    <t>Almost all capacity improvement measures are associated with costs (e.g. ATM system improvements, hiring new staff etc.). 
In each case, the total economic cost (i.e. financial + the cost of delays). Vs. the benefit of the measure will be considered. At the same time, every effort will be made to contribute to the acheivement of the pan-european cost efficiency target.</t>
  </si>
  <si>
    <t>There are no cross-border initiatives planned during the reference period.</t>
  </si>
  <si>
    <t>The State has assessed the safety management performance of the ANSP and has concluded that the ANSP's SMS function needed to be enhanced with the recruitment of permanent staff. Following this assessment the ANSP has commenced, in 2019, a formal recruitment process to employ a full-time safety manager and one supporting SMS officer. The recruitement process was halted due to the pandemic and has recenlty re-started. These persons will be responsible for the implementation of the main SMS processes i.e. safety promotion, safety improvement, safety assurance and safety risk management for the changes to be introduced to achieve targets in other KPAs. In order to achieve the challenging targets, the ANSP has enhanced further its recruitment plan and the supporting SMS officers increased from 1 to 3. The NSA has verified that the recruitment of these officers has been completed in mid-July 2022 and that they are now full-time employees.  
After the early experiences with the implementation of regulation (EU) 2017-373, the Cyprus ANSP revised its change management processes in order to effectively manage the safety risks associated with changes necessary to improve the level of their services. Similarly, the NSA has recently revised its oversight of changes processes in order to verify that the Service Providers apply appropriate mitigations when implementing changes to their functional systems.
Also note that the State has established its State Safety Program with clear commitment to the effective safety oversight of ANSPs (relevant KPIs and targets have been defined).
See Annex O for further information on safety measures.</t>
  </si>
  <si>
    <t xml:space="preserve">Cyprus, in cooperation with the Network Manager, is constantly revising its route network, in an effort to offer the most environmentally friendly and  cost efficient routing solutions to the airspace users.    
Cyprus, in cooperation with the Network Manager, In order to meet the requirements of the COMMISSION IMPLEMENTING REGULATION (EU) 2021/116 (Common Project One) and the target key performance indicators, defined by REGULATION (EC) No 550/2004 and local performance plans, DCAC Air Navigation Services has initiated the implementation of the Free Route (NICFRA) concept in its airspace.
The initial FRA implementation is due before March 2023. NICFRA will be completed in April 2025.
NICFRA will consist of the airspace of Nicosia FIR, including the airspace over the High Seas within which Cyprus is providing the air traffic service. Free Route Airspace operations will be introduced in 2 phases. Phase 1 in March 2023 between flight levels FL205 - FL660 during night hours and Phase 2 between FL205 - FL660 on a 24-hour basis by April 2025.
The main aim of NICFRA is to provide better solutions for airspace design, new airspace operating concepts and enhanced operational performance from a pan-European view, not just from a regional perspective.
The above mentioned measure is included also in the latest version of the European Route Network Improvement Plan, (ERNIP - dated 5 July 2022) which is a plan developed by the Network Manager in coordination with the operational stakeholders.
See Annex P for further information on measures to improve the ENV KPA.
</t>
  </si>
  <si>
    <t>21st December 2022</t>
  </si>
  <si>
    <t>14th September 2022</t>
  </si>
  <si>
    <t>Re-submitted, after comments received on SAF and ENV</t>
  </si>
  <si>
    <t>Final adopted PP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</si>
</sst>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 #,##0.00_);_(* \(#,##0.00\);_(* &quot;-&quot;??_);_(@_)"/>
    <numFmt numFmtId="165" formatCode="0.0%"/>
    <numFmt numFmtId="166" formatCode="[$-F800]dddd\,\ mmmm\ dd\,\ yyyy"/>
    <numFmt numFmtId="167" formatCode="\±0.0%"/>
    <numFmt numFmtId="168" formatCode="0,000\ &quot;€&quot;"/>
    <numFmt numFmtId="169" formatCode="\±0.00%"/>
    <numFmt numFmtId="170" formatCode="_-* #,##0_-;\-* #,##0_-;_-* &quot;-&quot;??_-;_-@_-"/>
    <numFmt numFmtId="171" formatCode="\±0%"/>
    <numFmt numFmtId="172" formatCode="#,##0.0"/>
    <numFmt numFmtId="173" formatCode="_-* #,##0\ _€_-;\-* #,##0\ _€_-;_-* &quot;-&quot;??\ _€_-;_-@_-"/>
    <numFmt numFmtId="174" formatCode="#,##0.000000"/>
    <numFmt numFmtId="175" formatCode="\±0.000"/>
    <numFmt numFmtId="176" formatCode="#,##0;\-#,##0;\-"/>
    <numFmt numFmtId="177" formatCode="0.00000"/>
    <numFmt numFmtId="178" formatCode="#,##0_ ;\-#,##0\ ;\-"/>
    <numFmt numFmtId="179" formatCode="#,##0.000"/>
    <numFmt numFmtId="180" formatCode="0.000%"/>
    <numFmt numFmtId="181" formatCode="0.0"/>
    <numFmt numFmtId="182" formatCode="[$€-2]\ #,##0;\-[$€-2]\ #,##0"/>
  </numFmts>
  <fonts count="125">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charset val="161"/>
      <scheme val="minor"/>
    </font>
    <font>
      <sz val="11"/>
      <color theme="1"/>
      <name val="Calibri"/>
      <family val="2"/>
      <charset val="161"/>
      <scheme val="minor"/>
    </font>
    <font>
      <sz val="11"/>
      <color theme="1"/>
      <name val="Calibri"/>
      <family val="2"/>
      <charset val="161"/>
      <scheme val="minor"/>
    </font>
    <font>
      <sz val="12"/>
      <color theme="1"/>
      <name val="Calibri"/>
      <family val="2"/>
      <scheme val="minor"/>
    </font>
    <font>
      <sz val="11"/>
      <color indexed="8"/>
      <name val="Calibri"/>
      <family val="2"/>
    </font>
    <font>
      <b/>
      <sz val="11"/>
      <color indexed="9"/>
      <name val="Calibri"/>
      <family val="2"/>
    </font>
    <font>
      <b/>
      <sz val="11"/>
      <color indexed="8"/>
      <name val="Calibri"/>
      <family val="2"/>
    </font>
    <font>
      <sz val="11"/>
      <color indexed="9"/>
      <name val="Calibri"/>
      <family val="2"/>
    </font>
    <font>
      <b/>
      <sz val="11"/>
      <color indexed="9"/>
      <name val="Calibri"/>
      <family val="2"/>
    </font>
    <font>
      <i/>
      <sz val="11"/>
      <color indexed="8"/>
      <name val="Calibri"/>
      <family val="2"/>
    </font>
    <font>
      <b/>
      <i/>
      <sz val="11"/>
      <color indexed="8"/>
      <name val="Calibri"/>
      <family val="2"/>
    </font>
    <font>
      <sz val="11"/>
      <name val="Calibri"/>
      <family val="2"/>
    </font>
    <font>
      <b/>
      <sz val="11"/>
      <name val="Calibri"/>
      <family val="2"/>
    </font>
    <font>
      <b/>
      <sz val="14"/>
      <color indexed="9"/>
      <name val="Calibri"/>
      <family val="2"/>
    </font>
    <font>
      <sz val="11"/>
      <color indexed="8"/>
      <name val="Calibri"/>
      <family val="2"/>
    </font>
    <font>
      <b/>
      <sz val="11"/>
      <name val="Arial"/>
      <family val="2"/>
    </font>
    <font>
      <sz val="11"/>
      <name val="Arial"/>
      <family val="2"/>
    </font>
    <font>
      <sz val="14"/>
      <color indexed="8"/>
      <name val="Calibri"/>
      <family val="2"/>
    </font>
    <font>
      <u/>
      <sz val="11"/>
      <name val="Calibri"/>
      <family val="2"/>
    </font>
    <font>
      <sz val="11"/>
      <color theme="0"/>
      <name val="Calibri"/>
      <family val="2"/>
      <scheme val="minor"/>
    </font>
    <font>
      <sz val="11"/>
      <color theme="0"/>
      <name val="Calibri"/>
      <family val="2"/>
    </font>
    <font>
      <b/>
      <sz val="11"/>
      <color theme="1"/>
      <name val="Calibri"/>
      <family val="2"/>
      <scheme val="minor"/>
    </font>
    <font>
      <sz val="11"/>
      <name val="Symbol"/>
      <family val="1"/>
      <charset val="2"/>
    </font>
    <font>
      <b/>
      <sz val="10"/>
      <color rgb="FFFF0000"/>
      <name val="Calibri"/>
      <family val="2"/>
      <scheme val="minor"/>
    </font>
    <font>
      <sz val="11"/>
      <name val="Calibri"/>
      <family val="2"/>
      <scheme val="minor"/>
    </font>
    <font>
      <sz val="14"/>
      <color theme="0"/>
      <name val="Calibri"/>
      <family val="2"/>
    </font>
    <font>
      <sz val="7"/>
      <name val="Times New Roman"/>
      <family val="1"/>
    </font>
    <font>
      <b/>
      <sz val="11"/>
      <color theme="1"/>
      <name val="Arial"/>
      <family val="2"/>
    </font>
    <font>
      <sz val="11"/>
      <color indexed="8"/>
      <name val="Calibri"/>
      <family val="2"/>
      <scheme val="minor"/>
    </font>
    <font>
      <sz val="7"/>
      <name val="Calibri"/>
      <family val="2"/>
      <scheme val="minor"/>
    </font>
    <font>
      <b/>
      <sz val="14"/>
      <color rgb="FF000080"/>
      <name val="Times New Roman"/>
      <family val="1"/>
    </font>
    <font>
      <b/>
      <sz val="11"/>
      <name val="Calibri"/>
      <family val="2"/>
      <scheme val="minor"/>
    </font>
    <font>
      <b/>
      <sz val="11"/>
      <color rgb="FFFF0000"/>
      <name val="Calibri"/>
      <family val="2"/>
      <scheme val="minor"/>
    </font>
    <font>
      <b/>
      <sz val="11"/>
      <color theme="0"/>
      <name val="Calibri"/>
      <family val="2"/>
      <scheme val="minor"/>
    </font>
    <font>
      <b/>
      <u/>
      <sz val="11"/>
      <color theme="0"/>
      <name val="Calibri"/>
      <family val="2"/>
    </font>
    <font>
      <i/>
      <sz val="11"/>
      <color theme="1"/>
      <name val="Calibri"/>
      <family val="2"/>
      <scheme val="minor"/>
    </font>
    <font>
      <b/>
      <sz val="16"/>
      <color theme="4" tint="-0.249977111117893"/>
      <name val="Calibri Light"/>
      <family val="2"/>
    </font>
    <font>
      <u/>
      <sz val="11"/>
      <color indexed="12"/>
      <name val="Calibri"/>
      <family val="2"/>
      <scheme val="minor"/>
    </font>
    <font>
      <b/>
      <sz val="11"/>
      <color indexed="9"/>
      <name val="Calibri"/>
      <family val="2"/>
      <scheme val="minor"/>
    </font>
    <font>
      <b/>
      <sz val="14"/>
      <name val="Calibri Light"/>
      <family val="2"/>
    </font>
    <font>
      <sz val="9"/>
      <color theme="1"/>
      <name val="Calibri"/>
      <family val="2"/>
      <scheme val="minor"/>
    </font>
    <font>
      <b/>
      <sz val="13"/>
      <name val="Calibri Light"/>
      <family val="2"/>
    </font>
    <font>
      <b/>
      <sz val="9"/>
      <color theme="1"/>
      <name val="Calibri"/>
      <family val="2"/>
      <scheme val="minor"/>
    </font>
    <font>
      <sz val="10"/>
      <color theme="1"/>
      <name val="Calibri"/>
      <family val="2"/>
      <scheme val="minor"/>
    </font>
    <font>
      <sz val="10"/>
      <color indexed="8"/>
      <name val="Calibri"/>
      <family val="2"/>
      <scheme val="minor"/>
    </font>
    <font>
      <b/>
      <sz val="10"/>
      <color theme="1"/>
      <name val="Calibri"/>
      <family val="2"/>
      <scheme val="minor"/>
    </font>
    <font>
      <sz val="10"/>
      <color indexed="8"/>
      <name val="Calibri"/>
      <family val="2"/>
    </font>
    <font>
      <b/>
      <sz val="12"/>
      <color theme="1"/>
      <name val="Calibri"/>
      <family val="2"/>
    </font>
    <font>
      <b/>
      <i/>
      <sz val="12"/>
      <color theme="1"/>
      <name val="Calibri"/>
      <family val="2"/>
    </font>
    <font>
      <i/>
      <sz val="11"/>
      <color rgb="FF7F7F7F"/>
      <name val="Calibri"/>
      <family val="2"/>
      <scheme val="minor"/>
    </font>
    <font>
      <b/>
      <sz val="13"/>
      <color rgb="FFFF0000"/>
      <name val="Calibri Light"/>
      <family val="2"/>
    </font>
    <font>
      <b/>
      <sz val="12"/>
      <color indexed="8"/>
      <name val="Calibri"/>
      <family val="2"/>
      <scheme val="minor"/>
    </font>
    <font>
      <b/>
      <sz val="12"/>
      <color theme="1"/>
      <name val="Calibri"/>
      <family val="2"/>
      <scheme val="minor"/>
    </font>
    <font>
      <b/>
      <sz val="11"/>
      <color theme="1"/>
      <name val="Calibri"/>
      <family val="2"/>
    </font>
    <font>
      <sz val="11"/>
      <color theme="1"/>
      <name val="Calibri"/>
      <family val="2"/>
    </font>
    <font>
      <i/>
      <sz val="11"/>
      <color rgb="FFFF0000"/>
      <name val="Calibri"/>
      <family val="2"/>
      <scheme val="minor"/>
    </font>
    <font>
      <sz val="11"/>
      <color theme="1"/>
      <name val="Calibri"/>
      <family val="2"/>
      <scheme val="minor"/>
    </font>
    <font>
      <sz val="12"/>
      <color indexed="8"/>
      <name val="Calibri"/>
      <family val="2"/>
      <scheme val="minor"/>
    </font>
    <font>
      <sz val="11"/>
      <color rgb="FFFF0000"/>
      <name val="Calibri"/>
      <family val="2"/>
    </font>
    <font>
      <sz val="11"/>
      <color rgb="FFEEF7E9"/>
      <name val="Calibri"/>
      <family val="2"/>
    </font>
    <font>
      <b/>
      <sz val="11"/>
      <color rgb="FFEEF7E9"/>
      <name val="Calibri"/>
      <family val="2"/>
      <scheme val="minor"/>
    </font>
    <font>
      <sz val="11"/>
      <color indexed="12"/>
      <name val="Calibri"/>
      <family val="2"/>
    </font>
    <font>
      <b/>
      <sz val="10"/>
      <color rgb="FFFF0000"/>
      <name val="Calibri"/>
      <family val="2"/>
    </font>
    <font>
      <vertAlign val="superscript"/>
      <sz val="11"/>
      <name val="Calibri"/>
      <family val="2"/>
      <scheme val="minor"/>
    </font>
    <font>
      <b/>
      <sz val="11"/>
      <color indexed="8"/>
      <name val="Calibri"/>
      <family val="2"/>
      <scheme val="minor"/>
    </font>
    <font>
      <sz val="11"/>
      <color rgb="FFEEF7E9"/>
      <name val="Calibri"/>
      <family val="2"/>
      <scheme val="minor"/>
    </font>
    <font>
      <sz val="11"/>
      <color theme="0" tint="-0.249977111117893"/>
      <name val="Calibri"/>
      <family val="2"/>
      <scheme val="minor"/>
    </font>
    <font>
      <u/>
      <sz val="11"/>
      <color theme="0"/>
      <name val="Calibri"/>
      <family val="2"/>
    </font>
    <font>
      <sz val="11"/>
      <color rgb="FFFF0000"/>
      <name val="Calibri"/>
      <family val="2"/>
      <scheme val="minor"/>
    </font>
    <font>
      <b/>
      <sz val="12"/>
      <name val="Calibri Light"/>
      <family val="2"/>
    </font>
    <font>
      <b/>
      <u/>
      <sz val="11"/>
      <color indexed="12"/>
      <name val="Calibri"/>
      <family val="2"/>
    </font>
    <font>
      <b/>
      <i/>
      <sz val="11"/>
      <name val="Arial"/>
      <family val="2"/>
    </font>
    <font>
      <b/>
      <vertAlign val="superscript"/>
      <sz val="11"/>
      <name val="Calibri"/>
      <family val="2"/>
    </font>
    <font>
      <b/>
      <sz val="11"/>
      <name val="Calibri Light"/>
      <family val="2"/>
    </font>
    <font>
      <b/>
      <i/>
      <sz val="14"/>
      <color indexed="8"/>
      <name val="Calibri"/>
      <family val="2"/>
    </font>
    <font>
      <u/>
      <sz val="11"/>
      <color rgb="FF0000FF"/>
      <name val="Calibri"/>
      <family val="2"/>
    </font>
    <font>
      <u/>
      <sz val="11"/>
      <color rgb="FF800080"/>
      <name val="Calibri"/>
      <family val="2"/>
      <scheme val="minor"/>
    </font>
    <font>
      <b/>
      <u/>
      <sz val="11"/>
      <color rgb="FF0000FF"/>
      <name val="Calibri"/>
      <family val="2"/>
    </font>
    <font>
      <sz val="48"/>
      <color theme="1"/>
      <name val="Calibri"/>
      <family val="2"/>
      <scheme val="minor"/>
    </font>
    <font>
      <sz val="48"/>
      <name val="Calibri"/>
      <family val="2"/>
      <scheme val="minor"/>
    </font>
    <font>
      <sz val="25"/>
      <color theme="1" tint="0.499984740745262"/>
      <name val="Calibri"/>
      <family val="2"/>
      <scheme val="minor"/>
    </font>
    <font>
      <sz val="11"/>
      <color theme="2" tint="-0.249977111117893"/>
      <name val="Calibri"/>
      <family val="2"/>
      <scheme val="minor"/>
    </font>
    <font>
      <sz val="11"/>
      <color theme="0" tint="-0.14999847407452621"/>
      <name val="Calibri"/>
      <family val="2"/>
      <scheme val="minor"/>
    </font>
    <font>
      <sz val="11"/>
      <color theme="0" tint="-0.34998626667073579"/>
      <name val="Calibri"/>
      <family val="2"/>
      <scheme val="minor"/>
    </font>
    <font>
      <sz val="10"/>
      <name val="Calibri"/>
      <family val="2"/>
      <scheme val="minor"/>
    </font>
    <font>
      <b/>
      <sz val="10"/>
      <name val="Calibri"/>
      <family val="2"/>
      <scheme val="minor"/>
    </font>
    <font>
      <sz val="11"/>
      <color rgb="FFFF0000"/>
      <name val="Calibri"/>
      <family val="2"/>
      <charset val="161"/>
      <scheme val="minor"/>
    </font>
    <font>
      <b/>
      <sz val="11"/>
      <color theme="1"/>
      <name val="Calibri"/>
      <family val="2"/>
      <charset val="161"/>
      <scheme val="minor"/>
    </font>
    <font>
      <sz val="11"/>
      <color theme="1"/>
      <name val="Calibri"/>
      <family val="2"/>
      <charset val="161"/>
    </font>
    <font>
      <sz val="11"/>
      <name val="Calibri"/>
      <family val="2"/>
      <charset val="161"/>
      <scheme val="minor"/>
    </font>
    <font>
      <sz val="12"/>
      <color theme="1"/>
      <name val="Calibri"/>
      <family val="2"/>
      <scheme val="minor"/>
    </font>
    <font>
      <sz val="11"/>
      <color indexed="8"/>
      <name val="Calibri"/>
      <family val="2"/>
      <charset val="161"/>
      <scheme val="minor"/>
    </font>
    <font>
      <b/>
      <i/>
      <sz val="11"/>
      <color indexed="8"/>
      <name val="Calibri"/>
      <family val="2"/>
      <charset val="161"/>
    </font>
    <font>
      <sz val="11"/>
      <color indexed="8"/>
      <name val="Calibri"/>
      <family val="2"/>
      <charset val="161"/>
    </font>
    <font>
      <sz val="11"/>
      <color indexed="8"/>
      <name val="Calibri"/>
      <family val="2"/>
      <charset val="161"/>
      <scheme val="minor"/>
    </font>
    <font>
      <i/>
      <sz val="11"/>
      <color theme="1"/>
      <name val="Calibri"/>
      <family val="2"/>
      <charset val="161"/>
      <scheme val="minor"/>
    </font>
    <font>
      <sz val="11"/>
      <color theme="1"/>
      <name val="Calibri"/>
      <family val="2"/>
      <charset val="161"/>
      <scheme val="minor"/>
    </font>
    <font>
      <b/>
      <sz val="11"/>
      <color rgb="FFFF0000"/>
      <name val="Calibri"/>
      <family val="2"/>
      <charset val="161"/>
      <scheme val="minor"/>
    </font>
    <font>
      <sz val="12"/>
      <color rgb="FFFF0000"/>
      <name val="Calibri"/>
      <family val="2"/>
      <charset val="161"/>
      <scheme val="minor"/>
    </font>
    <font>
      <sz val="12"/>
      <color indexed="8"/>
      <name val="Calibri"/>
      <family val="2"/>
    </font>
    <font>
      <i/>
      <sz val="12"/>
      <color indexed="8"/>
      <name val="Calibri"/>
      <family val="2"/>
      <charset val="161"/>
    </font>
    <font>
      <b/>
      <sz val="12"/>
      <color indexed="8"/>
      <name val="Calibri"/>
      <family val="2"/>
      <charset val="161"/>
    </font>
    <font>
      <u/>
      <sz val="11"/>
      <color rgb="FFFF0000"/>
      <name val="Calibri"/>
      <family val="2"/>
    </font>
    <font>
      <sz val="14"/>
      <color theme="1"/>
      <name val="Calibri"/>
      <family val="2"/>
      <scheme val="minor"/>
    </font>
    <font>
      <b/>
      <sz val="14"/>
      <color theme="9" tint="-0.499984740745262"/>
      <name val="Calibri"/>
      <family val="2"/>
      <charset val="161"/>
      <scheme val="minor"/>
    </font>
    <font>
      <b/>
      <sz val="14"/>
      <color theme="1"/>
      <name val="Calibri"/>
      <family val="2"/>
      <charset val="161"/>
      <scheme val="minor"/>
    </font>
    <font>
      <b/>
      <sz val="14"/>
      <color theme="1"/>
      <name val="Calibri"/>
      <family val="2"/>
      <scheme val="minor"/>
    </font>
    <font>
      <b/>
      <sz val="9"/>
      <name val="Calibri"/>
      <family val="2"/>
      <charset val="161"/>
      <scheme val="minor"/>
    </font>
    <font>
      <sz val="12"/>
      <name val="Calibri"/>
      <family val="2"/>
      <scheme val="minor"/>
    </font>
    <font>
      <sz val="14"/>
      <name val="Calibri"/>
      <family val="2"/>
      <charset val="161"/>
      <scheme val="minor"/>
    </font>
    <font>
      <b/>
      <u/>
      <sz val="11"/>
      <color rgb="FFFF0000"/>
      <name val="Calibri"/>
      <family val="2"/>
      <charset val="161"/>
    </font>
    <font>
      <b/>
      <u/>
      <sz val="14"/>
      <color rgb="FFFF0000"/>
      <name val="Calibri"/>
      <family val="2"/>
      <charset val="161"/>
    </font>
    <font>
      <sz val="12"/>
      <color theme="1"/>
      <name val="Calibri"/>
      <family val="2"/>
      <charset val="161"/>
    </font>
    <font>
      <sz val="12"/>
      <color theme="1"/>
      <name val="Calibri"/>
      <family val="2"/>
    </font>
    <font>
      <sz val="14"/>
      <color theme="1"/>
      <name val="Calibri"/>
      <family val="2"/>
      <charset val="161"/>
      <scheme val="minor"/>
    </font>
    <font>
      <b/>
      <sz val="12"/>
      <name val="Calibri"/>
      <family val="2"/>
      <scheme val="minor"/>
    </font>
    <font>
      <b/>
      <sz val="11"/>
      <name val="Calibri"/>
      <family val="2"/>
      <charset val="161"/>
      <scheme val="minor"/>
    </font>
    <font>
      <b/>
      <sz val="12"/>
      <color theme="1"/>
      <name val="Calibri"/>
      <family val="2"/>
      <charset val="161"/>
      <scheme val="minor"/>
    </font>
    <font>
      <b/>
      <sz val="12"/>
      <color theme="4" tint="-0.249977111117893"/>
      <name val="Calibri"/>
      <family val="2"/>
      <charset val="161"/>
      <scheme val="minor"/>
    </font>
    <font>
      <sz val="12"/>
      <color theme="1"/>
      <name val="Calibri"/>
      <family val="2"/>
      <charset val="161"/>
      <scheme val="minor"/>
    </font>
    <font>
      <u/>
      <sz val="12"/>
      <name val="Calibri"/>
      <family val="2"/>
      <charset val="161"/>
      <scheme val="minor"/>
    </font>
  </fonts>
  <fills count="34">
    <fill>
      <patternFill patternType="none"/>
    </fill>
    <fill>
      <patternFill patternType="gray125"/>
    </fill>
    <fill>
      <patternFill patternType="solid">
        <fgColor indexed="26"/>
        <bgColor indexed="64"/>
      </patternFill>
    </fill>
    <fill>
      <patternFill patternType="solid">
        <fgColor indexed="55"/>
        <bgColor indexed="64"/>
      </patternFill>
    </fill>
    <fill>
      <patternFill patternType="solid">
        <fgColor indexed="9"/>
        <bgColor indexed="64"/>
      </patternFill>
    </fill>
    <fill>
      <patternFill patternType="darkUp">
        <fgColor indexed="55"/>
        <bgColor indexed="22"/>
      </patternFill>
    </fill>
    <fill>
      <patternFill patternType="solid">
        <fgColor theme="4"/>
      </patternFill>
    </fill>
    <fill>
      <patternFill patternType="solid">
        <fgColor theme="4" tint="0.39997558519241921"/>
        <bgColor indexed="65"/>
      </patternFill>
    </fill>
    <fill>
      <patternFill patternType="solid">
        <fgColor theme="6" tint="0.39997558519241921"/>
        <bgColor indexed="64"/>
      </patternFill>
    </fill>
    <fill>
      <patternFill patternType="solid">
        <fgColor theme="0"/>
        <bgColor indexed="64"/>
      </patternFill>
    </fill>
    <fill>
      <patternFill patternType="solid">
        <fgColor rgb="FFFFFFCC"/>
        <bgColor indexed="64"/>
      </patternFill>
    </fill>
    <fill>
      <patternFill patternType="solid">
        <fgColor theme="0" tint="-0.249977111117893"/>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EEF7E9"/>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59999389629810485"/>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00"/>
        <bgColor indexed="64"/>
      </patternFill>
    </fill>
    <fill>
      <patternFill patternType="solid">
        <fgColor rgb="FF66FFCC"/>
        <bgColor indexed="64"/>
      </patternFill>
    </fill>
    <fill>
      <patternFill patternType="solid">
        <fgColor theme="8" tint="0.79998168889431442"/>
        <bgColor indexed="64"/>
      </patternFill>
    </fill>
    <fill>
      <patternFill patternType="solid">
        <fgColor rgb="FF00FFCC"/>
        <bgColor indexed="64"/>
      </patternFill>
    </fill>
    <fill>
      <patternFill patternType="solid">
        <fgColor theme="3" tint="0.79998168889431442"/>
        <bgColor indexed="64"/>
      </patternFill>
    </fill>
    <fill>
      <patternFill patternType="darkUp">
        <fgColor indexed="55"/>
        <bgColor rgb="FFFFFF00"/>
      </patternFill>
    </fill>
    <fill>
      <patternFill patternType="solid">
        <fgColor rgb="FFA5A5A5"/>
      </patternFill>
    </fill>
    <fill>
      <patternFill patternType="solid">
        <fgColor rgb="FFFDFDD9"/>
        <bgColor indexed="64"/>
      </patternFill>
    </fill>
    <fill>
      <patternFill patternType="darkUp">
        <fgColor indexed="55"/>
        <bgColor theme="0"/>
      </patternFill>
    </fill>
    <fill>
      <patternFill patternType="solid">
        <fgColor theme="3" tint="0.39997558519241921"/>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1"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theme="3" tint="0.59996337778862885"/>
      </top>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rgb="FF808080"/>
      </top>
      <bottom/>
      <diagonal/>
    </border>
    <border>
      <left/>
      <right/>
      <top style="thin">
        <color rgb="FF808080"/>
      </top>
      <bottom style="thin">
        <color rgb="FF808080"/>
      </bottom>
      <diagonal/>
    </border>
    <border>
      <left style="thin">
        <color rgb="FF808080"/>
      </left>
      <right style="thin">
        <color rgb="FF808080"/>
      </right>
      <top style="thin">
        <color rgb="FF808080"/>
      </top>
      <bottom style="thin">
        <color rgb="FF808080"/>
      </bottom>
      <diagonal/>
    </border>
    <border>
      <left style="thin">
        <color rgb="FF808080"/>
      </left>
      <right/>
      <top style="thin">
        <color rgb="FF808080"/>
      </top>
      <bottom style="thin">
        <color rgb="FF808080"/>
      </bottom>
      <diagonal/>
    </border>
    <border>
      <left style="thin">
        <color rgb="FF808080"/>
      </left>
      <right/>
      <top style="thin">
        <color rgb="FF808080"/>
      </top>
      <bottom/>
      <diagonal/>
    </border>
    <border>
      <left style="thin">
        <color rgb="FF808080"/>
      </left>
      <right style="thin">
        <color rgb="FF808080"/>
      </right>
      <top style="thin">
        <color rgb="FF808080"/>
      </top>
      <bottom/>
      <diagonal/>
    </border>
    <border>
      <left/>
      <right style="thin">
        <color rgb="FF808080"/>
      </right>
      <top style="thin">
        <color rgb="FF808080"/>
      </top>
      <bottom style="thin">
        <color rgb="FF808080"/>
      </bottom>
      <diagonal/>
    </border>
    <border>
      <left style="thin">
        <color rgb="FF808080"/>
      </left>
      <right/>
      <top/>
      <bottom/>
      <diagonal/>
    </border>
    <border>
      <left/>
      <right/>
      <top style="medium">
        <color rgb="FF808080"/>
      </top>
      <bottom/>
      <diagonal/>
    </border>
    <border>
      <left/>
      <right style="thin">
        <color rgb="FF808080"/>
      </right>
      <top style="thin">
        <color rgb="FF808080"/>
      </top>
      <bottom/>
      <diagonal/>
    </border>
    <border>
      <left style="medium">
        <color rgb="FF808080"/>
      </left>
      <right/>
      <top/>
      <bottom/>
      <diagonal/>
    </border>
    <border>
      <left style="medium">
        <color rgb="FF808080"/>
      </left>
      <right/>
      <top style="medium">
        <color rgb="FF808080"/>
      </top>
      <bottom/>
      <diagonal/>
    </border>
    <border>
      <left style="thin">
        <color rgb="FF808080"/>
      </left>
      <right/>
      <top style="medium">
        <color rgb="FF808080"/>
      </top>
      <bottom/>
      <diagonal/>
    </border>
    <border>
      <left style="medium">
        <color rgb="FF808080"/>
      </left>
      <right/>
      <top style="thin">
        <color rgb="FF808080"/>
      </top>
      <bottom/>
      <diagonal/>
    </border>
    <border>
      <left/>
      <right/>
      <top style="thin">
        <color theme="1" tint="0.499984740745262"/>
      </top>
      <bottom/>
      <diagonal/>
    </border>
    <border>
      <left/>
      <right/>
      <top/>
      <bottom style="medium">
        <color theme="1" tint="0.499984740745262"/>
      </bottom>
      <diagonal/>
    </border>
    <border>
      <left style="thin">
        <color rgb="FF808080"/>
      </left>
      <right style="medium">
        <color rgb="FF808080"/>
      </right>
      <top style="thin">
        <color rgb="FF808080"/>
      </top>
      <bottom/>
      <diagonal/>
    </border>
    <border>
      <left style="thin">
        <color rgb="FF808080"/>
      </left>
      <right style="medium">
        <color rgb="FF808080"/>
      </right>
      <top/>
      <bottom/>
      <diagonal/>
    </border>
    <border>
      <left style="thin">
        <color rgb="FF808080"/>
      </left>
      <right style="medium">
        <color rgb="FF808080"/>
      </right>
      <top/>
      <bottom style="thin">
        <color rgb="FF808080"/>
      </bottom>
      <diagonal/>
    </border>
    <border>
      <left style="medium">
        <color rgb="FF808080"/>
      </left>
      <right/>
      <top style="thin">
        <color rgb="FF808080"/>
      </top>
      <bottom style="medium">
        <color rgb="FF808080"/>
      </bottom>
      <diagonal/>
    </border>
    <border>
      <left style="thin">
        <color rgb="FF808080"/>
      </left>
      <right/>
      <top style="thin">
        <color rgb="FF808080"/>
      </top>
      <bottom style="medium">
        <color rgb="FF808080"/>
      </bottom>
      <diagonal/>
    </border>
    <border>
      <left style="thin">
        <color rgb="FF808080"/>
      </left>
      <right/>
      <top/>
      <bottom style="thin">
        <color rgb="FF808080"/>
      </bottom>
      <diagonal/>
    </border>
    <border>
      <left/>
      <right/>
      <top/>
      <bottom style="thin">
        <color rgb="FF808080"/>
      </bottom>
      <diagonal/>
    </border>
    <border>
      <left style="thin">
        <color theme="0" tint="-0.499984740745262"/>
      </left>
      <right style="thin">
        <color theme="0" tint="-0.499984740745262"/>
      </right>
      <top style="thin">
        <color theme="0" tint="-0.499984740745262"/>
      </top>
      <bottom/>
      <diagonal/>
    </border>
    <border>
      <left/>
      <right/>
      <top style="thin">
        <color theme="0" tint="-0.499984740745262"/>
      </top>
      <bottom/>
      <diagonal/>
    </border>
    <border>
      <left style="thin">
        <color theme="1" tint="0.499984740745262"/>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right style="thin">
        <color rgb="FF808080"/>
      </right>
      <top/>
      <bottom/>
      <diagonal/>
    </border>
    <border>
      <left/>
      <right style="thin">
        <color rgb="FF808080"/>
      </right>
      <top/>
      <bottom style="thin">
        <color rgb="FF808080"/>
      </bottom>
      <diagonal/>
    </border>
    <border>
      <left/>
      <right style="thin">
        <color theme="0" tint="-0.499984740745262"/>
      </right>
      <top style="thin">
        <color rgb="FF808080"/>
      </top>
      <bottom/>
      <diagonal/>
    </border>
    <border>
      <left/>
      <right style="thin">
        <color theme="0" tint="-0.499984740745262"/>
      </right>
      <top/>
      <bottom/>
      <diagonal/>
    </border>
    <border>
      <left/>
      <right style="thin">
        <color theme="0" tint="-0.499984740745262"/>
      </right>
      <top/>
      <bottom style="thin">
        <color rgb="FF808080"/>
      </bottom>
      <diagonal/>
    </border>
    <border>
      <left/>
      <right/>
      <top style="thin">
        <color rgb="FF808080"/>
      </top>
      <bottom style="medium">
        <color rgb="FF808080"/>
      </bottom>
      <diagonal/>
    </border>
    <border>
      <left/>
      <right style="medium">
        <color rgb="FF808080"/>
      </right>
      <top style="thin">
        <color rgb="FF808080"/>
      </top>
      <bottom style="medium">
        <color rgb="FF808080"/>
      </bottom>
      <diagonal/>
    </border>
    <border>
      <left style="thin">
        <color rgb="FF808080"/>
      </left>
      <right style="thin">
        <color rgb="FF808080"/>
      </right>
      <top style="medium">
        <color rgb="FF808080"/>
      </top>
      <bottom style="thin">
        <color rgb="FF808080"/>
      </bottom>
      <diagonal/>
    </border>
    <border>
      <left/>
      <right/>
      <top style="thin">
        <color theme="4" tint="0.39997558519241921"/>
      </top>
      <bottom style="thin">
        <color theme="4" tint="0.39997558519241921"/>
      </bottom>
      <diagonal/>
    </border>
    <border>
      <left style="thin">
        <color rgb="FF808080"/>
      </left>
      <right style="thin">
        <color rgb="FF808080"/>
      </right>
      <top/>
      <bottom style="thin">
        <color rgb="FF808080"/>
      </bottom>
      <diagonal/>
    </border>
    <border>
      <left style="thin">
        <color rgb="FF808080"/>
      </left>
      <right style="thin">
        <color indexed="64"/>
      </right>
      <top style="thin">
        <color rgb="FF808080"/>
      </top>
      <bottom style="thin">
        <color rgb="FF808080"/>
      </bottom>
      <diagonal/>
    </border>
    <border>
      <left style="thin">
        <color indexed="64"/>
      </left>
      <right style="thin">
        <color indexed="64"/>
      </right>
      <top style="thin">
        <color rgb="FF808080"/>
      </top>
      <bottom style="thin">
        <color rgb="FF808080"/>
      </bottom>
      <diagonal/>
    </border>
    <border>
      <left style="thin">
        <color indexed="64"/>
      </left>
      <right style="thin">
        <color rgb="FF808080"/>
      </right>
      <top style="thin">
        <color rgb="FF808080"/>
      </top>
      <bottom style="thin">
        <color rgb="FF808080"/>
      </bottom>
      <diagonal/>
    </border>
    <border>
      <left style="thin">
        <color rgb="FF808080"/>
      </left>
      <right style="thin">
        <color indexed="64"/>
      </right>
      <top style="thin">
        <color rgb="FF808080"/>
      </top>
      <bottom style="thin">
        <color indexed="64"/>
      </bottom>
      <diagonal/>
    </border>
    <border>
      <left style="thin">
        <color indexed="64"/>
      </left>
      <right style="thin">
        <color indexed="64"/>
      </right>
      <top style="thin">
        <color rgb="FF808080"/>
      </top>
      <bottom style="thin">
        <color indexed="64"/>
      </bottom>
      <diagonal/>
    </border>
    <border>
      <left style="thin">
        <color indexed="64"/>
      </left>
      <right style="thin">
        <color rgb="FF808080"/>
      </right>
      <top style="thin">
        <color rgb="FF808080"/>
      </top>
      <bottom style="thin">
        <color indexed="64"/>
      </bottom>
      <diagonal/>
    </border>
    <border>
      <left style="thin">
        <color rgb="FF808080"/>
      </left>
      <right style="thin">
        <color indexed="64"/>
      </right>
      <top style="thin">
        <color indexed="64"/>
      </top>
      <bottom style="thin">
        <color rgb="FF808080"/>
      </bottom>
      <diagonal/>
    </border>
    <border>
      <left style="thin">
        <color indexed="64"/>
      </left>
      <right style="thin">
        <color indexed="64"/>
      </right>
      <top style="thin">
        <color indexed="64"/>
      </top>
      <bottom style="thin">
        <color rgb="FF808080"/>
      </bottom>
      <diagonal/>
    </border>
    <border>
      <left style="thin">
        <color indexed="64"/>
      </left>
      <right style="thin">
        <color rgb="FF808080"/>
      </right>
      <top style="thin">
        <color indexed="64"/>
      </top>
      <bottom style="thin">
        <color rgb="FF808080"/>
      </bottom>
      <diagonal/>
    </border>
    <border>
      <left style="double">
        <color rgb="FF3F3F3F"/>
      </left>
      <right style="double">
        <color rgb="FF3F3F3F"/>
      </right>
      <top style="double">
        <color rgb="FF3F3F3F"/>
      </top>
      <bottom style="double">
        <color rgb="FF3F3F3F"/>
      </bottom>
      <diagonal/>
    </border>
  </borders>
  <cellStyleXfs count="12">
    <xf numFmtId="0" fontId="0" fillId="0" borderId="0"/>
    <xf numFmtId="0" fontId="23" fillId="6" borderId="0" applyNumberFormat="0" applyBorder="0" applyAlignment="0" applyProtection="0"/>
    <xf numFmtId="0" fontId="79" fillId="0" borderId="0" applyNumberFormat="0" applyFill="0" applyBorder="0" applyAlignment="0" applyProtection="0">
      <alignment vertical="top"/>
      <protection locked="0"/>
    </xf>
    <xf numFmtId="9" fontId="18" fillId="0" borderId="0" applyFont="0" applyFill="0" applyBorder="0" applyAlignment="0" applyProtection="0"/>
    <xf numFmtId="0" fontId="23" fillId="7" borderId="0" applyNumberFormat="0" applyBorder="0" applyAlignment="0" applyProtection="0"/>
    <xf numFmtId="0" fontId="53" fillId="0" borderId="0" applyNumberFormat="0" applyFill="0" applyBorder="0" applyAlignment="0" applyProtection="0"/>
    <xf numFmtId="164" fontId="60" fillId="0" borderId="0" applyFont="0" applyFill="0" applyBorder="0" applyAlignment="0" applyProtection="0"/>
    <xf numFmtId="0" fontId="80" fillId="0" borderId="0" applyNumberFormat="0" applyFill="0" applyBorder="0" applyAlignment="0" applyProtection="0"/>
    <xf numFmtId="0" fontId="81" fillId="0" borderId="0">
      <protection locked="0"/>
    </xf>
    <xf numFmtId="9" fontId="8" fillId="0" borderId="0" applyFont="0" applyFill="0" applyBorder="0" applyAlignment="0" applyProtection="0"/>
    <xf numFmtId="164" fontId="60" fillId="0" borderId="0" applyFont="0" applyFill="0" applyBorder="0" applyAlignment="0" applyProtection="0"/>
    <xf numFmtId="0" fontId="37" fillId="30" borderId="64" applyNumberFormat="0" applyAlignment="0" applyProtection="0"/>
  </cellStyleXfs>
  <cellXfs count="1128">
    <xf numFmtId="0" fontId="0" fillId="0" borderId="0" xfId="0"/>
    <xf numFmtId="11" fontId="85" fillId="17" borderId="39" xfId="0" applyNumberFormat="1" applyFont="1" applyFill="1" applyBorder="1" applyProtection="1">
      <protection locked="0"/>
    </xf>
    <xf numFmtId="3" fontId="0" fillId="9" borderId="16" xfId="0" applyNumberFormat="1" applyFill="1" applyBorder="1" applyAlignment="1">
      <alignment horizontal="right" vertical="center"/>
    </xf>
    <xf numFmtId="0" fontId="0" fillId="0" borderId="0" xfId="0" applyProtection="1">
      <protection locked="0"/>
    </xf>
    <xf numFmtId="0" fontId="0" fillId="0" borderId="0" xfId="0" applyAlignment="1" applyProtection="1">
      <alignment wrapText="1"/>
      <protection locked="0"/>
    </xf>
    <xf numFmtId="0" fontId="23" fillId="0" borderId="0" xfId="0" applyFont="1" applyProtection="1">
      <protection locked="0"/>
    </xf>
    <xf numFmtId="0" fontId="79" fillId="0" borderId="0" xfId="2" applyAlignment="1" applyProtection="1">
      <protection locked="0"/>
    </xf>
    <xf numFmtId="0" fontId="79" fillId="0" borderId="0" xfId="2" applyAlignment="1" applyProtection="1">
      <alignment wrapText="1"/>
      <protection locked="0"/>
    </xf>
    <xf numFmtId="0" fontId="24" fillId="0" borderId="0" xfId="0" applyFont="1" applyProtection="1">
      <protection locked="0"/>
    </xf>
    <xf numFmtId="0" fontId="8" fillId="0" borderId="0" xfId="0" applyFont="1" applyProtection="1">
      <protection locked="0"/>
    </xf>
    <xf numFmtId="0" fontId="18" fillId="0" borderId="0" xfId="0" applyFont="1" applyProtection="1">
      <protection locked="0"/>
    </xf>
    <xf numFmtId="0" fontId="0" fillId="0" borderId="0" xfId="0" applyAlignment="1" applyProtection="1">
      <alignment vertical="center" wrapText="1"/>
      <protection locked="0"/>
    </xf>
    <xf numFmtId="0" fontId="17" fillId="0" borderId="0" xfId="1" applyFont="1" applyFill="1" applyBorder="1" applyAlignment="1" applyProtection="1">
      <alignment horizontal="left" vertical="center" wrapText="1"/>
      <protection locked="0"/>
    </xf>
    <xf numFmtId="0" fontId="12" fillId="0" borderId="0" xfId="0" applyFont="1" applyAlignment="1" applyProtection="1">
      <alignment horizontal="center" vertical="center" wrapText="1"/>
      <protection locked="0"/>
    </xf>
    <xf numFmtId="0" fontId="11" fillId="0" borderId="0" xfId="0" applyFont="1" applyAlignment="1" applyProtection="1">
      <alignment wrapText="1"/>
      <protection locked="0"/>
    </xf>
    <xf numFmtId="0" fontId="25" fillId="0" borderId="0" xfId="0" applyFont="1" applyAlignment="1" applyProtection="1">
      <alignment wrapText="1"/>
      <protection locked="0"/>
    </xf>
    <xf numFmtId="0" fontId="8" fillId="0" borderId="0" xfId="0" applyFont="1" applyAlignment="1" applyProtection="1">
      <alignment horizontal="left" vertical="top" wrapText="1"/>
      <protection locked="0"/>
    </xf>
    <xf numFmtId="0" fontId="10" fillId="0" borderId="0" xfId="0" applyFont="1" applyAlignment="1" applyProtection="1">
      <alignment horizontal="left" vertical="center" wrapText="1"/>
      <protection locked="0"/>
    </xf>
    <xf numFmtId="0" fontId="10" fillId="0" borderId="0" xfId="0" applyFont="1" applyAlignment="1" applyProtection="1">
      <alignment vertical="center" wrapText="1"/>
      <protection locked="0"/>
    </xf>
    <xf numFmtId="0" fontId="0" fillId="0" borderId="0" xfId="0" applyAlignment="1" applyProtection="1">
      <alignment horizontal="left" vertical="center" wrapText="1"/>
      <protection locked="0"/>
    </xf>
    <xf numFmtId="0" fontId="9" fillId="0" borderId="0" xfId="1" applyFont="1" applyFill="1" applyBorder="1" applyAlignment="1" applyProtection="1">
      <alignment horizontal="center"/>
      <protection locked="0"/>
    </xf>
    <xf numFmtId="0" fontId="9" fillId="0" borderId="0" xfId="1" applyFont="1" applyFill="1" applyBorder="1" applyAlignment="1" applyProtection="1">
      <protection locked="0"/>
    </xf>
    <xf numFmtId="0" fontId="37" fillId="0" borderId="0" xfId="0" applyFont="1" applyProtection="1">
      <protection locked="0"/>
    </xf>
    <xf numFmtId="0" fontId="38" fillId="0" borderId="0" xfId="2" applyFont="1" applyAlignment="1" applyProtection="1">
      <protection locked="0"/>
    </xf>
    <xf numFmtId="0" fontId="21" fillId="0" borderId="0" xfId="0" applyFont="1" applyProtection="1">
      <protection locked="0"/>
    </xf>
    <xf numFmtId="0" fontId="29" fillId="0" borderId="0" xfId="0" applyFont="1" applyProtection="1">
      <protection locked="0"/>
    </xf>
    <xf numFmtId="0" fontId="15" fillId="0" borderId="0" xfId="0" applyFont="1" applyAlignment="1" applyProtection="1">
      <alignment horizontal="left" vertical="top" wrapText="1"/>
      <protection locked="0"/>
    </xf>
    <xf numFmtId="0" fontId="15" fillId="0" borderId="0" xfId="0" applyFont="1" applyAlignment="1" applyProtection="1">
      <alignment vertical="top" wrapText="1"/>
      <protection locked="0"/>
    </xf>
    <xf numFmtId="0" fontId="34" fillId="0" borderId="0" xfId="0" applyFont="1" applyAlignment="1" applyProtection="1">
      <alignment horizontal="justify" vertical="center"/>
      <protection locked="0"/>
    </xf>
    <xf numFmtId="0" fontId="0" fillId="0" borderId="0" xfId="0" applyAlignment="1" applyProtection="1">
      <alignment vertical="top" wrapText="1"/>
      <protection locked="0"/>
    </xf>
    <xf numFmtId="0" fontId="42" fillId="0" borderId="0" xfId="0" applyFont="1" applyAlignment="1" applyProtection="1">
      <alignment vertical="center" wrapText="1"/>
      <protection locked="0"/>
    </xf>
    <xf numFmtId="0" fontId="43" fillId="0" borderId="0" xfId="4" applyFont="1" applyFill="1" applyBorder="1" applyAlignment="1" applyProtection="1">
      <alignment horizontal="left" vertical="center" wrapText="1"/>
      <protection locked="0"/>
    </xf>
    <xf numFmtId="0" fontId="45" fillId="0" borderId="0" xfId="4" applyFont="1" applyFill="1" applyBorder="1" applyAlignment="1" applyProtection="1">
      <alignment vertical="center"/>
      <protection locked="0"/>
    </xf>
    <xf numFmtId="0" fontId="10" fillId="0" borderId="10" xfId="0" applyFont="1" applyBorder="1" applyAlignment="1" applyProtection="1">
      <alignment vertical="center" wrapText="1"/>
      <protection locked="0"/>
    </xf>
    <xf numFmtId="0" fontId="0" fillId="0" borderId="10" xfId="0" applyBorder="1" applyAlignment="1" applyProtection="1">
      <alignment horizontal="left" vertical="center" wrapText="1"/>
      <protection locked="0"/>
    </xf>
    <xf numFmtId="0" fontId="32" fillId="13" borderId="9" xfId="0" applyFont="1" applyFill="1" applyBorder="1" applyAlignment="1" applyProtection="1">
      <alignment horizontal="center" vertical="top"/>
      <protection locked="0"/>
    </xf>
    <xf numFmtId="0" fontId="50" fillId="0" borderId="0" xfId="0" applyFont="1" applyAlignment="1" applyProtection="1">
      <alignment vertical="top"/>
      <protection locked="0"/>
    </xf>
    <xf numFmtId="0" fontId="50" fillId="0" borderId="0" xfId="0" applyFont="1" applyAlignment="1" applyProtection="1">
      <alignment vertical="top" wrapText="1"/>
      <protection locked="0"/>
    </xf>
    <xf numFmtId="0" fontId="53" fillId="0" borderId="0" xfId="5" applyAlignment="1" applyProtection="1">
      <protection locked="0"/>
    </xf>
    <xf numFmtId="0" fontId="53" fillId="0" borderId="0" xfId="5" applyProtection="1">
      <protection locked="0"/>
    </xf>
    <xf numFmtId="0" fontId="25" fillId="0" borderId="0" xfId="0" applyFont="1" applyProtection="1">
      <protection locked="0"/>
    </xf>
    <xf numFmtId="49" fontId="0" fillId="0" borderId="0" xfId="0" applyNumberFormat="1" applyAlignment="1" applyProtection="1">
      <alignment horizontal="left" vertical="center" wrapText="1"/>
      <protection locked="0"/>
    </xf>
    <xf numFmtId="0" fontId="43" fillId="0" borderId="0" xfId="4" applyFont="1" applyFill="1" applyBorder="1" applyAlignment="1" applyProtection="1">
      <alignment vertical="center"/>
      <protection locked="0"/>
    </xf>
    <xf numFmtId="0" fontId="53" fillId="0" borderId="0" xfId="5" applyAlignment="1" applyProtection="1">
      <alignment horizontal="left" vertical="top"/>
      <protection locked="0"/>
    </xf>
    <xf numFmtId="0" fontId="8" fillId="0" borderId="0" xfId="0" applyFont="1" applyAlignment="1" applyProtection="1">
      <alignment horizontal="left" vertical="top"/>
      <protection locked="0"/>
    </xf>
    <xf numFmtId="0" fontId="43" fillId="0" borderId="0" xfId="4" applyFont="1" applyFill="1" applyBorder="1" applyAlignment="1" applyProtection="1">
      <alignment horizontal="left" vertical="center"/>
      <protection locked="0"/>
    </xf>
    <xf numFmtId="0" fontId="8" fillId="0" borderId="0" xfId="0" quotePrefix="1" applyFont="1" applyAlignment="1" applyProtection="1">
      <alignment horizontal="left" vertical="top" wrapText="1"/>
      <protection locked="0"/>
    </xf>
    <xf numFmtId="165" fontId="8" fillId="0" borderId="0" xfId="0" applyNumberFormat="1" applyFont="1" applyAlignment="1" applyProtection="1">
      <alignment horizontal="left" vertical="top" wrapText="1"/>
      <protection locked="0"/>
    </xf>
    <xf numFmtId="0" fontId="43" fillId="0" borderId="0" xfId="4" applyFont="1" applyFill="1" applyBorder="1" applyAlignment="1" applyProtection="1">
      <alignment vertical="center" wrapText="1"/>
      <protection locked="0"/>
    </xf>
    <xf numFmtId="0" fontId="51" fillId="0" borderId="0" xfId="1" applyFont="1" applyFill="1" applyAlignment="1" applyProtection="1">
      <alignment horizontal="left" wrapText="1"/>
      <protection locked="0"/>
    </xf>
    <xf numFmtId="0" fontId="56" fillId="0" borderId="0" xfId="0" applyFont="1" applyProtection="1">
      <protection locked="0"/>
    </xf>
    <xf numFmtId="0" fontId="51" fillId="0" borderId="0" xfId="1" applyFont="1" applyFill="1" applyBorder="1" applyAlignment="1" applyProtection="1">
      <alignment horizontal="left" wrapText="1"/>
      <protection locked="0"/>
    </xf>
    <xf numFmtId="0" fontId="40" fillId="0" borderId="5" xfId="1" applyFont="1" applyFill="1" applyBorder="1" applyAlignment="1" applyProtection="1">
      <alignment horizontal="center" vertical="top" wrapText="1"/>
      <protection locked="0"/>
    </xf>
    <xf numFmtId="1" fontId="0" fillId="0" borderId="0" xfId="0" applyNumberFormat="1" applyAlignment="1" applyProtection="1">
      <alignment horizontal="center" vertical="center"/>
      <protection locked="0"/>
    </xf>
    <xf numFmtId="9" fontId="0" fillId="0" borderId="0" xfId="0" applyNumberFormat="1"/>
    <xf numFmtId="0" fontId="62" fillId="0" borderId="0" xfId="0" applyFont="1" applyAlignment="1" applyProtection="1">
      <alignment horizontal="left" vertical="top"/>
      <protection locked="0"/>
    </xf>
    <xf numFmtId="0" fontId="52" fillId="11" borderId="0" xfId="1" applyFont="1" applyFill="1" applyAlignment="1" applyProtection="1">
      <protection locked="0"/>
    </xf>
    <xf numFmtId="1" fontId="0" fillId="0" borderId="0" xfId="0" quotePrefix="1" applyNumberFormat="1" applyAlignment="1" applyProtection="1">
      <alignment horizontal="left" vertical="center"/>
      <protection locked="0"/>
    </xf>
    <xf numFmtId="0" fontId="13" fillId="0" borderId="0" xfId="0" applyFont="1" applyAlignment="1" applyProtection="1">
      <alignment vertical="top" wrapText="1"/>
      <protection locked="0"/>
    </xf>
    <xf numFmtId="0" fontId="51" fillId="0" borderId="0" xfId="1" applyFont="1" applyFill="1" applyAlignment="1" applyProtection="1">
      <alignment horizontal="left" vertical="top"/>
      <protection locked="0"/>
    </xf>
    <xf numFmtId="49" fontId="0" fillId="0" borderId="0" xfId="0" applyNumberFormat="1" applyAlignment="1" applyProtection="1">
      <alignment horizontal="left" vertical="center"/>
      <protection locked="0"/>
    </xf>
    <xf numFmtId="0" fontId="20" fillId="9" borderId="2" xfId="0" applyFont="1" applyFill="1" applyBorder="1" applyAlignment="1">
      <alignment horizontal="justify" vertical="center"/>
    </xf>
    <xf numFmtId="0" fontId="20" fillId="9" borderId="3" xfId="0" applyFont="1" applyFill="1" applyBorder="1" applyAlignment="1" applyProtection="1">
      <alignment horizontal="justify" vertical="center"/>
      <protection locked="0"/>
    </xf>
    <xf numFmtId="0" fontId="20" fillId="9" borderId="3" xfId="0" applyFont="1" applyFill="1" applyBorder="1" applyAlignment="1">
      <alignment horizontal="justify" vertical="center"/>
    </xf>
    <xf numFmtId="0" fontId="26" fillId="9" borderId="3" xfId="0" applyFont="1" applyFill="1" applyBorder="1" applyAlignment="1" applyProtection="1">
      <alignment horizontal="justify" vertical="center"/>
      <protection locked="0"/>
    </xf>
    <xf numFmtId="0" fontId="0" fillId="9" borderId="3" xfId="0" applyFill="1" applyBorder="1" applyProtection="1">
      <protection locked="0"/>
    </xf>
    <xf numFmtId="0" fontId="31" fillId="9" borderId="3" xfId="0" applyFont="1" applyFill="1" applyBorder="1" applyAlignment="1" applyProtection="1">
      <alignment horizontal="left" vertical="center"/>
      <protection locked="0"/>
    </xf>
    <xf numFmtId="0" fontId="31" fillId="9" borderId="3" xfId="0" applyFont="1" applyFill="1" applyBorder="1" applyAlignment="1" applyProtection="1">
      <alignment horizontal="justify" vertical="center"/>
      <protection locked="0"/>
    </xf>
    <xf numFmtId="0" fontId="0" fillId="9" borderId="4" xfId="0" applyFill="1" applyBorder="1" applyProtection="1">
      <protection locked="0"/>
    </xf>
    <xf numFmtId="0" fontId="0" fillId="0" borderId="0" xfId="0" quotePrefix="1"/>
    <xf numFmtId="0" fontId="0" fillId="14" borderId="0" xfId="0" applyFill="1"/>
    <xf numFmtId="0" fontId="0" fillId="0" borderId="0" xfId="0" applyAlignment="1">
      <alignment horizontal="centerContinuous"/>
    </xf>
    <xf numFmtId="1" fontId="0" fillId="0" borderId="0" xfId="0" applyNumberFormat="1"/>
    <xf numFmtId="0" fontId="16" fillId="12" borderId="0" xfId="0" applyFont="1" applyFill="1" applyAlignment="1" applyProtection="1">
      <alignment vertical="center"/>
      <protection locked="0"/>
    </xf>
    <xf numFmtId="0" fontId="65" fillId="0" borderId="0" xfId="2" applyFont="1" applyAlignment="1" applyProtection="1">
      <alignment wrapText="1"/>
      <protection locked="0"/>
    </xf>
    <xf numFmtId="0" fontId="16" fillId="3" borderId="0" xfId="0" applyFont="1" applyFill="1" applyAlignment="1" applyProtection="1">
      <alignment vertical="center"/>
      <protection locked="0"/>
    </xf>
    <xf numFmtId="0" fontId="25" fillId="0" borderId="0" xfId="0" applyFont="1"/>
    <xf numFmtId="0" fontId="15" fillId="14" borderId="0" xfId="0" applyFont="1" applyFill="1" applyAlignment="1" applyProtection="1">
      <alignment horizontal="left" vertical="top"/>
      <protection locked="0"/>
    </xf>
    <xf numFmtId="0" fontId="15" fillId="14" borderId="0" xfId="0" applyFont="1" applyFill="1" applyAlignment="1" applyProtection="1">
      <alignment horizontal="left" vertical="top" wrapText="1"/>
      <protection locked="0"/>
    </xf>
    <xf numFmtId="170" fontId="15" fillId="14" borderId="0" xfId="6" applyNumberFormat="1" applyFont="1" applyFill="1" applyBorder="1" applyAlignment="1" applyProtection="1">
      <alignment horizontal="left" vertical="top" wrapText="1"/>
      <protection locked="0"/>
    </xf>
    <xf numFmtId="170" fontId="15" fillId="14" borderId="0" xfId="6" applyNumberFormat="1" applyFont="1" applyFill="1" applyBorder="1" applyAlignment="1" applyProtection="1">
      <alignment horizontal="left" vertical="top"/>
      <protection locked="0"/>
    </xf>
    <xf numFmtId="10" fontId="15" fillId="14" borderId="0" xfId="0" applyNumberFormat="1" applyFont="1" applyFill="1" applyAlignment="1" applyProtection="1">
      <alignment horizontal="left" vertical="top" wrapText="1"/>
      <protection locked="0"/>
    </xf>
    <xf numFmtId="0" fontId="15" fillId="0" borderId="0" xfId="0" quotePrefix="1" applyFont="1" applyAlignment="1" applyProtection="1">
      <alignment horizontal="left" vertical="top"/>
      <protection locked="0"/>
    </xf>
    <xf numFmtId="0" fontId="0" fillId="10" borderId="0" xfId="0" applyFill="1"/>
    <xf numFmtId="0" fontId="51" fillId="0" borderId="0" xfId="1" applyFont="1" applyFill="1" applyAlignment="1" applyProtection="1">
      <protection locked="0"/>
    </xf>
    <xf numFmtId="0" fontId="0" fillId="12" borderId="0" xfId="0" applyFill="1"/>
    <xf numFmtId="0" fontId="27" fillId="0" borderId="0" xfId="0" applyFont="1" applyProtection="1">
      <protection locked="0"/>
    </xf>
    <xf numFmtId="0" fontId="0" fillId="0" borderId="0" xfId="0" quotePrefix="1" applyAlignment="1" applyProtection="1">
      <alignment wrapText="1"/>
      <protection locked="0"/>
    </xf>
    <xf numFmtId="165" fontId="0" fillId="0" borderId="0" xfId="0" applyNumberFormat="1" applyAlignment="1">
      <alignment vertical="center"/>
    </xf>
    <xf numFmtId="0" fontId="0" fillId="0" borderId="0" xfId="0" quotePrefix="1" applyProtection="1">
      <protection locked="0"/>
    </xf>
    <xf numFmtId="0" fontId="0" fillId="0" borderId="0" xfId="0" quotePrefix="1" applyAlignment="1">
      <alignment horizontal="left"/>
    </xf>
    <xf numFmtId="0" fontId="25" fillId="0" borderId="0" xfId="0" applyFont="1" applyAlignment="1" applyProtection="1">
      <alignment vertical="top" wrapText="1"/>
      <protection locked="0"/>
    </xf>
    <xf numFmtId="0" fontId="41" fillId="0" borderId="0" xfId="2" applyFont="1" applyFill="1" applyAlignment="1" applyProtection="1">
      <alignment vertical="top" wrapText="1"/>
    </xf>
    <xf numFmtId="0" fontId="0" fillId="0" borderId="0" xfId="0" applyAlignment="1" applyProtection="1">
      <alignment horizontal="left" vertical="top" wrapText="1" indent="3"/>
      <protection locked="0"/>
    </xf>
    <xf numFmtId="0" fontId="28" fillId="0" borderId="0" xfId="0" applyFont="1" applyAlignment="1" applyProtection="1">
      <alignment horizontal="left" vertical="top" wrapText="1" indent="3"/>
      <protection locked="0"/>
    </xf>
    <xf numFmtId="0" fontId="39" fillId="0" borderId="0" xfId="0" applyFont="1" applyAlignment="1" applyProtection="1">
      <alignment horizontal="left" vertical="top" wrapText="1" indent="6"/>
      <protection locked="0"/>
    </xf>
    <xf numFmtId="0" fontId="63" fillId="0" borderId="0" xfId="0" applyFont="1" applyProtection="1">
      <protection locked="0"/>
    </xf>
    <xf numFmtId="0" fontId="27" fillId="0" borderId="0" xfId="0" applyFont="1" applyAlignment="1">
      <alignment horizontal="center"/>
    </xf>
    <xf numFmtId="0" fontId="27" fillId="0" borderId="0" xfId="0" applyFont="1" applyAlignment="1">
      <alignment horizontal="right"/>
    </xf>
    <xf numFmtId="165" fontId="61" fillId="10" borderId="9" xfId="0" quotePrefix="1" applyNumberFormat="1" applyFont="1" applyFill="1" applyBorder="1" applyAlignment="1" applyProtection="1">
      <alignment horizontal="center" vertical="top"/>
      <protection locked="0"/>
    </xf>
    <xf numFmtId="0" fontId="69" fillId="0" borderId="0" xfId="0" applyFont="1" applyProtection="1">
      <protection locked="0"/>
    </xf>
    <xf numFmtId="0" fontId="70" fillId="0" borderId="0" xfId="0" applyFont="1" applyProtection="1">
      <protection locked="0"/>
    </xf>
    <xf numFmtId="0" fontId="71" fillId="0" borderId="0" xfId="2" applyFont="1" applyAlignment="1" applyProtection="1">
      <alignment vertical="top" wrapText="1"/>
      <protection locked="0"/>
    </xf>
    <xf numFmtId="0" fontId="71" fillId="0" borderId="0" xfId="2" applyFont="1" applyAlignment="1" applyProtection="1">
      <protection locked="0"/>
    </xf>
    <xf numFmtId="0" fontId="71" fillId="0" borderId="0" xfId="0" applyFont="1" applyProtection="1">
      <protection locked="0"/>
    </xf>
    <xf numFmtId="0" fontId="71" fillId="0" borderId="0" xfId="0" applyFont="1" applyAlignment="1" applyProtection="1">
      <alignment horizontal="left" vertical="top" wrapText="1"/>
      <protection locked="0"/>
    </xf>
    <xf numFmtId="0" fontId="71" fillId="0" borderId="0" xfId="2" applyFont="1" applyAlignment="1" applyProtection="1">
      <alignment wrapText="1"/>
      <protection locked="0"/>
    </xf>
    <xf numFmtId="0" fontId="71" fillId="0" borderId="0" xfId="0" applyFont="1"/>
    <xf numFmtId="0" fontId="0" fillId="0" borderId="0" xfId="0" applyAlignment="1">
      <alignment horizontal="left" vertical="center"/>
    </xf>
    <xf numFmtId="0" fontId="74" fillId="0" borderId="0" xfId="2" applyFont="1" applyAlignment="1" applyProtection="1"/>
    <xf numFmtId="0" fontId="79" fillId="0" borderId="0" xfId="2" applyAlignment="1" applyProtection="1">
      <alignment horizontal="left" indent="3"/>
      <protection locked="0"/>
    </xf>
    <xf numFmtId="0" fontId="79" fillId="0" borderId="0" xfId="2" applyAlignment="1" applyProtection="1">
      <alignment horizontal="left" indent="3"/>
    </xf>
    <xf numFmtId="0" fontId="0" fillId="0" borderId="0" xfId="0" applyAlignment="1">
      <alignment horizontal="left" indent="3"/>
    </xf>
    <xf numFmtId="0" fontId="18" fillId="0" borderId="0" xfId="0" applyFont="1" applyAlignment="1" applyProtection="1">
      <alignment horizontal="left" indent="7"/>
      <protection locked="0"/>
    </xf>
    <xf numFmtId="0" fontId="72" fillId="0" borderId="0" xfId="0" applyFont="1"/>
    <xf numFmtId="173" fontId="72" fillId="0" borderId="0" xfId="0" applyNumberFormat="1" applyFont="1"/>
    <xf numFmtId="0" fontId="20" fillId="0" borderId="0" xfId="0" applyFont="1" applyAlignment="1">
      <alignment horizontal="right" wrapText="1"/>
    </xf>
    <xf numFmtId="0" fontId="51" fillId="0" borderId="0" xfId="1" applyFont="1" applyFill="1" applyBorder="1" applyAlignment="1" applyProtection="1">
      <protection locked="0"/>
    </xf>
    <xf numFmtId="0" fontId="77" fillId="0" borderId="0" xfId="4" applyFont="1" applyFill="1" applyBorder="1" applyAlignment="1" applyProtection="1">
      <alignment vertical="center"/>
      <protection locked="0"/>
    </xf>
    <xf numFmtId="0" fontId="60" fillId="0" borderId="0" xfId="0" applyFont="1" applyProtection="1">
      <protection locked="0"/>
    </xf>
    <xf numFmtId="0" fontId="40" fillId="0" borderId="0" xfId="1" applyFont="1" applyFill="1" applyBorder="1" applyAlignment="1" applyProtection="1">
      <alignment vertical="top"/>
      <protection locked="0"/>
    </xf>
    <xf numFmtId="0" fontId="23" fillId="0" borderId="0" xfId="2" applyFont="1" applyAlignment="1" applyProtection="1">
      <protection locked="0"/>
    </xf>
    <xf numFmtId="0" fontId="39" fillId="0" borderId="0" xfId="0" applyFont="1" applyAlignment="1" applyProtection="1">
      <alignment horizontal="left" vertical="top" wrapText="1" indent="3"/>
      <protection locked="0"/>
    </xf>
    <xf numFmtId="0" fontId="0" fillId="0" borderId="0" xfId="0" applyAlignment="1" applyProtection="1">
      <alignment horizontal="left" vertical="top" indent="3"/>
      <protection locked="0"/>
    </xf>
    <xf numFmtId="0" fontId="10" fillId="0" borderId="0" xfId="0" applyFont="1" applyProtection="1">
      <protection locked="0"/>
    </xf>
    <xf numFmtId="0" fontId="8" fillId="0" borderId="0" xfId="0" applyFont="1" applyAlignment="1" applyProtection="1">
      <alignment horizontal="left" indent="5"/>
      <protection locked="0"/>
    </xf>
    <xf numFmtId="0" fontId="79" fillId="0" borderId="0" xfId="2" applyAlignment="1" applyProtection="1">
      <alignment horizontal="left" indent="5"/>
      <protection locked="0"/>
    </xf>
    <xf numFmtId="0" fontId="15" fillId="0" borderId="0" xfId="2" applyFont="1" applyAlignment="1" applyProtection="1">
      <alignment horizontal="left" indent="5"/>
      <protection locked="0"/>
    </xf>
    <xf numFmtId="0" fontId="28" fillId="0" borderId="0" xfId="0" applyFont="1"/>
    <xf numFmtId="0" fontId="40" fillId="0" borderId="0" xfId="1" applyFont="1" applyFill="1" applyBorder="1" applyAlignment="1" applyProtection="1">
      <alignment horizontal="center" vertical="top" wrapText="1"/>
      <protection locked="0"/>
    </xf>
    <xf numFmtId="0" fontId="0" fillId="0" borderId="14" xfId="0" applyBorder="1" applyAlignment="1" applyProtection="1">
      <alignment vertical="top" wrapText="1"/>
      <protection locked="0"/>
    </xf>
    <xf numFmtId="0" fontId="9" fillId="0" borderId="14" xfId="0" applyFont="1" applyBorder="1" applyAlignment="1" applyProtection="1">
      <alignment vertical="center" wrapText="1"/>
      <protection locked="0"/>
    </xf>
    <xf numFmtId="0" fontId="0" fillId="0" borderId="14" xfId="0" applyBorder="1" applyAlignment="1" applyProtection="1">
      <alignment wrapText="1"/>
      <protection locked="0"/>
    </xf>
    <xf numFmtId="0" fontId="0" fillId="14" borderId="18" xfId="0" applyFill="1" applyBorder="1" applyAlignment="1" applyProtection="1">
      <alignment horizontal="left" vertical="center" wrapText="1"/>
      <protection locked="0"/>
    </xf>
    <xf numFmtId="0" fontId="0" fillId="0" borderId="14" xfId="0" applyBorder="1" applyAlignment="1" applyProtection="1">
      <alignment vertical="center" wrapText="1"/>
      <protection locked="0"/>
    </xf>
    <xf numFmtId="49" fontId="0" fillId="0" borderId="14" xfId="0" applyNumberFormat="1" applyBorder="1" applyAlignment="1" applyProtection="1">
      <alignment vertical="top" wrapText="1"/>
      <protection locked="0"/>
    </xf>
    <xf numFmtId="0" fontId="0" fillId="14" borderId="18" xfId="0" applyFill="1" applyBorder="1" applyAlignment="1" applyProtection="1">
      <alignment vertical="center" wrapText="1"/>
      <protection locked="0"/>
    </xf>
    <xf numFmtId="0" fontId="0" fillId="14" borderId="19" xfId="0" applyFill="1" applyBorder="1" applyAlignment="1" applyProtection="1">
      <alignment horizontal="left" vertical="center" wrapText="1"/>
      <protection locked="0"/>
    </xf>
    <xf numFmtId="0" fontId="18" fillId="0" borderId="14" xfId="0" applyFont="1" applyBorder="1" applyProtection="1">
      <protection locked="0"/>
    </xf>
    <xf numFmtId="0" fontId="50" fillId="0" borderId="14" xfId="0" applyFont="1" applyBorder="1" applyAlignment="1" applyProtection="1">
      <alignment vertical="top"/>
      <protection locked="0"/>
    </xf>
    <xf numFmtId="0" fontId="50" fillId="0" borderId="14" xfId="0" applyFont="1" applyBorder="1" applyAlignment="1" applyProtection="1">
      <alignment vertical="top" wrapText="1"/>
      <protection locked="0"/>
    </xf>
    <xf numFmtId="0" fontId="40" fillId="0" borderId="0" xfId="1" applyFont="1" applyFill="1" applyBorder="1" applyAlignment="1" applyProtection="1">
      <alignment vertical="top" wrapText="1"/>
      <protection locked="0"/>
    </xf>
    <xf numFmtId="49" fontId="32" fillId="0" borderId="21" xfId="0" applyNumberFormat="1" applyFont="1" applyBorder="1" applyAlignment="1" applyProtection="1">
      <alignment horizontal="left" vertical="top" wrapText="1"/>
      <protection locked="0"/>
    </xf>
    <xf numFmtId="0" fontId="0" fillId="0" borderId="22" xfId="0" applyBorder="1" applyAlignment="1" applyProtection="1">
      <alignment wrapText="1"/>
      <protection locked="0"/>
    </xf>
    <xf numFmtId="0" fontId="0" fillId="0" borderId="21" xfId="0" applyBorder="1" applyAlignment="1" applyProtection="1">
      <alignment wrapText="1"/>
      <protection locked="0"/>
    </xf>
    <xf numFmtId="0" fontId="0" fillId="0" borderId="0" xfId="0" applyAlignment="1" applyProtection="1">
      <alignment horizontal="right" wrapText="1"/>
      <protection locked="0"/>
    </xf>
    <xf numFmtId="0" fontId="53" fillId="0" borderId="21" xfId="5" applyBorder="1" applyAlignment="1" applyProtection="1">
      <protection locked="0"/>
    </xf>
    <xf numFmtId="0" fontId="0" fillId="14" borderId="18" xfId="0" applyFill="1" applyBorder="1" applyAlignment="1" applyProtection="1">
      <alignment horizontal="left" vertical="top"/>
      <protection locked="0"/>
    </xf>
    <xf numFmtId="0" fontId="0" fillId="14" borderId="18" xfId="0" applyFill="1" applyBorder="1" applyAlignment="1" applyProtection="1">
      <alignment horizontal="left" vertical="center"/>
      <protection locked="0"/>
    </xf>
    <xf numFmtId="49" fontId="0" fillId="9" borderId="18" xfId="0" applyNumberFormat="1" applyFill="1" applyBorder="1" applyAlignment="1" applyProtection="1">
      <alignment horizontal="left" vertical="center" wrapText="1"/>
      <protection locked="0"/>
    </xf>
    <xf numFmtId="49" fontId="0" fillId="0" borderId="21" xfId="0" applyNumberFormat="1" applyBorder="1" applyAlignment="1" applyProtection="1">
      <alignment horizontal="left" vertical="center" wrapText="1"/>
      <protection locked="0"/>
    </xf>
    <xf numFmtId="49" fontId="0" fillId="9" borderId="18" xfId="0" applyNumberFormat="1" applyFill="1" applyBorder="1" applyAlignment="1" applyProtection="1">
      <alignment horizontal="left" vertical="top" wrapText="1"/>
      <protection locked="0"/>
    </xf>
    <xf numFmtId="0" fontId="0" fillId="0" borderId="14" xfId="0" applyBorder="1"/>
    <xf numFmtId="49" fontId="0" fillId="9" borderId="14" xfId="0" applyNumberFormat="1" applyFill="1" applyBorder="1" applyAlignment="1" applyProtection="1">
      <alignment horizontal="left" vertical="center" wrapText="1"/>
      <protection locked="0"/>
    </xf>
    <xf numFmtId="0" fontId="25" fillId="0" borderId="0" xfId="0" applyFont="1" applyAlignment="1" applyProtection="1">
      <alignment horizontal="left" vertical="top"/>
      <protection locked="0"/>
    </xf>
    <xf numFmtId="49" fontId="0" fillId="0" borderId="21" xfId="0" applyNumberFormat="1" applyBorder="1" applyAlignment="1" applyProtection="1">
      <alignment horizontal="left" vertical="center"/>
      <protection locked="0"/>
    </xf>
    <xf numFmtId="0" fontId="32" fillId="13" borderId="18" xfId="0" applyFont="1" applyFill="1" applyBorder="1" applyAlignment="1" applyProtection="1">
      <alignment horizontal="center" vertical="top"/>
      <protection locked="0"/>
    </xf>
    <xf numFmtId="0" fontId="25" fillId="0" borderId="14" xfId="0" applyFont="1" applyBorder="1" applyAlignment="1" applyProtection="1">
      <alignment horizontal="left" vertical="top"/>
      <protection locked="0"/>
    </xf>
    <xf numFmtId="49" fontId="0" fillId="0" borderId="14" xfId="0" applyNumberFormat="1" applyBorder="1" applyAlignment="1" applyProtection="1">
      <alignment horizontal="left" vertical="center" wrapText="1"/>
      <protection locked="0"/>
    </xf>
    <xf numFmtId="0" fontId="0" fillId="9" borderId="18" xfId="0" applyFill="1" applyBorder="1" applyAlignment="1" applyProtection="1">
      <alignment horizontal="left" vertical="top"/>
      <protection locked="0"/>
    </xf>
    <xf numFmtId="0" fontId="25" fillId="0" borderId="14" xfId="0" applyFont="1" applyBorder="1" applyAlignment="1" applyProtection="1">
      <alignment wrapText="1"/>
      <protection locked="0"/>
    </xf>
    <xf numFmtId="0" fontId="0" fillId="9" borderId="18" xfId="0" applyFill="1" applyBorder="1" applyAlignment="1" applyProtection="1">
      <alignment horizontal="left" vertical="center"/>
      <protection locked="0"/>
    </xf>
    <xf numFmtId="0" fontId="73" fillId="0" borderId="0" xfId="4" applyFont="1" applyFill="1" applyBorder="1" applyAlignment="1" applyProtection="1">
      <alignment vertical="center"/>
      <protection locked="0"/>
    </xf>
    <xf numFmtId="0" fontId="0" fillId="0" borderId="21" xfId="0" applyBorder="1" applyProtection="1">
      <protection locked="0"/>
    </xf>
    <xf numFmtId="0" fontId="56" fillId="0" borderId="0" xfId="0" applyFont="1" applyAlignment="1" applyProtection="1">
      <alignment wrapText="1"/>
      <protection locked="0"/>
    </xf>
    <xf numFmtId="0" fontId="0" fillId="0" borderId="14" xfId="0" applyBorder="1" applyAlignment="1" applyProtection="1">
      <alignment horizontal="left"/>
      <protection locked="0"/>
    </xf>
    <xf numFmtId="0" fontId="0" fillId="0" borderId="14" xfId="0" applyBorder="1" applyAlignment="1" applyProtection="1">
      <alignment horizontal="center" wrapText="1"/>
      <protection locked="0"/>
    </xf>
    <xf numFmtId="0" fontId="46" fillId="0" borderId="0" xfId="0" applyFont="1" applyAlignment="1" applyProtection="1">
      <alignment wrapText="1"/>
      <protection locked="0"/>
    </xf>
    <xf numFmtId="0" fontId="47" fillId="14" borderId="17" xfId="0" applyFont="1" applyFill="1" applyBorder="1" applyAlignment="1" applyProtection="1">
      <alignment horizontal="left" vertical="center" wrapText="1"/>
      <protection locked="0"/>
    </xf>
    <xf numFmtId="0" fontId="44" fillId="0" borderId="0" xfId="0" applyFont="1" applyAlignment="1" applyProtection="1">
      <alignment horizontal="center" wrapText="1"/>
      <protection locked="0"/>
    </xf>
    <xf numFmtId="0" fontId="47" fillId="14" borderId="18" xfId="0" applyFont="1" applyFill="1" applyBorder="1" applyAlignment="1" applyProtection="1">
      <alignment horizontal="left" vertical="center" wrapText="1"/>
      <protection locked="0"/>
    </xf>
    <xf numFmtId="3" fontId="48" fillId="10" borderId="18" xfId="0" applyNumberFormat="1" applyFont="1" applyFill="1" applyBorder="1" applyAlignment="1" applyProtection="1">
      <alignment horizontal="center" vertical="top" wrapText="1"/>
      <protection locked="0"/>
    </xf>
    <xf numFmtId="0" fontId="8" fillId="5" borderId="16" xfId="0" applyFont="1" applyFill="1" applyBorder="1" applyAlignment="1" applyProtection="1">
      <alignment horizontal="right" vertical="center" wrapText="1"/>
      <protection locked="0"/>
    </xf>
    <xf numFmtId="0" fontId="8" fillId="5" borderId="17" xfId="0" applyFont="1" applyFill="1" applyBorder="1" applyAlignment="1" applyProtection="1">
      <alignment horizontal="right" vertical="center" wrapText="1"/>
      <protection locked="0"/>
    </xf>
    <xf numFmtId="165" fontId="48" fillId="10" borderId="17" xfId="0" applyNumberFormat="1" applyFont="1" applyFill="1" applyBorder="1" applyAlignment="1" applyProtection="1">
      <alignment horizontal="center" vertical="top" wrapText="1"/>
      <protection locked="0"/>
    </xf>
    <xf numFmtId="165" fontId="48" fillId="10" borderId="18" xfId="3" applyNumberFormat="1" applyFont="1" applyFill="1" applyBorder="1" applyAlignment="1" applyProtection="1">
      <alignment horizontal="center" vertical="top" wrapText="1"/>
      <protection locked="0"/>
    </xf>
    <xf numFmtId="0" fontId="8" fillId="5" borderId="18" xfId="0" applyFont="1" applyFill="1" applyBorder="1" applyAlignment="1" applyProtection="1">
      <alignment horizontal="right" vertical="center" wrapText="1"/>
      <protection locked="0"/>
    </xf>
    <xf numFmtId="165" fontId="48" fillId="10" borderId="18" xfId="0" applyNumberFormat="1" applyFont="1" applyFill="1" applyBorder="1" applyAlignment="1" applyProtection="1">
      <alignment horizontal="center" vertical="top" wrapText="1"/>
      <protection locked="0"/>
    </xf>
    <xf numFmtId="49" fontId="49" fillId="0" borderId="0" xfId="0" applyNumberFormat="1" applyFont="1" applyAlignment="1" applyProtection="1">
      <alignment wrapText="1"/>
      <protection locked="0"/>
    </xf>
    <xf numFmtId="3" fontId="48" fillId="9" borderId="18" xfId="0" applyNumberFormat="1" applyFont="1" applyFill="1" applyBorder="1" applyAlignment="1" applyProtection="1">
      <alignment horizontal="center" vertical="top" wrapText="1"/>
      <protection locked="0"/>
    </xf>
    <xf numFmtId="165" fontId="48" fillId="9" borderId="18" xfId="3" applyNumberFormat="1" applyFont="1" applyFill="1" applyBorder="1" applyAlignment="1" applyProtection="1">
      <alignment horizontal="center" vertical="top" wrapText="1"/>
      <protection locked="0"/>
    </xf>
    <xf numFmtId="0" fontId="53" fillId="0" borderId="21" xfId="5" applyBorder="1" applyAlignment="1" applyProtection="1">
      <alignment horizontal="left" vertical="top"/>
      <protection locked="0"/>
    </xf>
    <xf numFmtId="0" fontId="0" fillId="0" borderId="21" xfId="0" applyBorder="1"/>
    <xf numFmtId="172" fontId="48" fillId="10" borderId="18" xfId="0" applyNumberFormat="1" applyFont="1" applyFill="1" applyBorder="1" applyAlignment="1" applyProtection="1">
      <alignment horizontal="center" vertical="top" wrapText="1"/>
      <protection locked="0"/>
    </xf>
    <xf numFmtId="172" fontId="48" fillId="9" borderId="18" xfId="0" applyNumberFormat="1" applyFont="1" applyFill="1" applyBorder="1" applyAlignment="1" applyProtection="1">
      <alignment horizontal="center" vertical="top" wrapText="1"/>
      <protection locked="0"/>
    </xf>
    <xf numFmtId="0" fontId="45" fillId="0" borderId="0" xfId="4" applyFont="1" applyFill="1" applyBorder="1" applyAlignment="1" applyProtection="1">
      <alignment vertical="center" wrapText="1"/>
      <protection locked="0"/>
    </xf>
    <xf numFmtId="0" fontId="12" fillId="0" borderId="22" xfId="0" applyFont="1" applyBorder="1" applyAlignment="1" applyProtection="1">
      <alignment horizontal="center" vertical="center" wrapText="1"/>
      <protection locked="0"/>
    </xf>
    <xf numFmtId="0" fontId="12" fillId="0" borderId="14" xfId="0" applyFont="1" applyBorder="1" applyAlignment="1" applyProtection="1">
      <alignment horizontal="center" vertical="center" wrapText="1"/>
      <protection locked="0"/>
    </xf>
    <xf numFmtId="0" fontId="45" fillId="0" borderId="22" xfId="4" applyFont="1" applyFill="1" applyBorder="1" applyAlignment="1" applyProtection="1">
      <alignment horizontal="left" vertical="center" wrapText="1"/>
      <protection locked="0"/>
    </xf>
    <xf numFmtId="0" fontId="8" fillId="13" borderId="18" xfId="0" applyFont="1" applyFill="1" applyBorder="1" applyAlignment="1" applyProtection="1">
      <alignment horizontal="center" vertical="center" wrapText="1"/>
      <protection locked="0"/>
    </xf>
    <xf numFmtId="0" fontId="8" fillId="14" borderId="18" xfId="0" applyFont="1" applyFill="1" applyBorder="1" applyAlignment="1" applyProtection="1">
      <alignment horizontal="center" vertical="center" wrapText="1"/>
      <protection locked="0"/>
    </xf>
    <xf numFmtId="0" fontId="0" fillId="0" borderId="14" xfId="0" applyBorder="1" applyAlignment="1" applyProtection="1">
      <alignment horizontal="center" vertical="center" wrapText="1"/>
      <protection locked="0"/>
    </xf>
    <xf numFmtId="0" fontId="45" fillId="0" borderId="22" xfId="4" applyFont="1" applyFill="1" applyBorder="1" applyAlignment="1" applyProtection="1">
      <alignment vertical="center"/>
      <protection locked="0"/>
    </xf>
    <xf numFmtId="0" fontId="63" fillId="16" borderId="0" xfId="0" applyFont="1" applyFill="1" applyAlignment="1" applyProtection="1">
      <alignment wrapText="1"/>
      <protection locked="0"/>
    </xf>
    <xf numFmtId="0" fontId="0" fillId="14" borderId="21" xfId="0" applyFill="1" applyBorder="1" applyAlignment="1" applyProtection="1">
      <alignment horizontal="left" vertical="center" wrapText="1"/>
      <protection locked="0"/>
    </xf>
    <xf numFmtId="0" fontId="0" fillId="14" borderId="21" xfId="0" applyFill="1" applyBorder="1" applyAlignment="1" applyProtection="1">
      <alignment vertical="center" wrapText="1"/>
      <protection locked="0"/>
    </xf>
    <xf numFmtId="0" fontId="0" fillId="14" borderId="21" xfId="0" applyFill="1" applyBorder="1" applyAlignment="1" applyProtection="1">
      <alignment horizontal="center" vertical="center" wrapText="1"/>
      <protection locked="0"/>
    </xf>
    <xf numFmtId="0" fontId="0" fillId="14" borderId="18" xfId="0" quotePrefix="1" applyFill="1" applyBorder="1" applyAlignment="1" applyProtection="1">
      <alignment horizontal="center" vertical="center" wrapText="1"/>
      <protection locked="0"/>
    </xf>
    <xf numFmtId="0" fontId="0" fillId="14" borderId="18" xfId="0" applyFill="1" applyBorder="1" applyAlignment="1" applyProtection="1">
      <alignment horizontal="center" vertical="center" wrapText="1"/>
      <protection locked="0"/>
    </xf>
    <xf numFmtId="0" fontId="0" fillId="10" borderId="18" xfId="0" applyFill="1" applyBorder="1" applyAlignment="1" applyProtection="1">
      <alignment horizontal="left" vertical="center" wrapText="1"/>
      <protection locked="0"/>
    </xf>
    <xf numFmtId="3" fontId="0" fillId="10" borderId="18" xfId="0" applyNumberFormat="1" applyFill="1" applyBorder="1" applyAlignment="1" applyProtection="1">
      <alignment horizontal="right" vertical="center" wrapText="1"/>
      <protection locked="0"/>
    </xf>
    <xf numFmtId="0" fontId="0" fillId="0" borderId="14" xfId="0" applyBorder="1" applyAlignment="1" applyProtection="1">
      <alignment horizontal="left" vertical="center" wrapText="1"/>
      <protection locked="0"/>
    </xf>
    <xf numFmtId="3" fontId="0" fillId="0" borderId="14" xfId="0" applyNumberFormat="1" applyBorder="1" applyAlignment="1" applyProtection="1">
      <alignment horizontal="right" vertical="center" wrapText="1"/>
      <protection locked="0"/>
    </xf>
    <xf numFmtId="0" fontId="51" fillId="0" borderId="22" xfId="1" applyFont="1" applyFill="1" applyBorder="1" applyAlignment="1" applyProtection="1">
      <alignment horizontal="left" wrapText="1"/>
      <protection locked="0"/>
    </xf>
    <xf numFmtId="0" fontId="0" fillId="9" borderId="18" xfId="0" applyFill="1" applyBorder="1" applyAlignment="1" applyProtection="1">
      <alignment horizontal="left" vertical="center" wrapText="1"/>
      <protection locked="0"/>
    </xf>
    <xf numFmtId="3" fontId="0" fillId="9" borderId="18" xfId="0" applyNumberFormat="1" applyFill="1" applyBorder="1" applyAlignment="1" applyProtection="1">
      <alignment horizontal="right" vertical="center" wrapText="1"/>
      <protection locked="0"/>
    </xf>
    <xf numFmtId="49" fontId="32" fillId="0" borderId="14" xfId="0" applyNumberFormat="1" applyFont="1" applyBorder="1" applyAlignment="1" applyProtection="1">
      <alignment horizontal="left" vertical="top" wrapText="1"/>
      <protection locked="0"/>
    </xf>
    <xf numFmtId="0" fontId="53" fillId="0" borderId="0" xfId="5" applyBorder="1" applyAlignment="1" applyProtection="1">
      <protection locked="0"/>
    </xf>
    <xf numFmtId="0" fontId="8" fillId="0" borderId="14" xfId="0" applyFont="1" applyBorder="1" applyAlignment="1" applyProtection="1">
      <alignment horizontal="left" vertical="top" wrapText="1"/>
      <protection locked="0"/>
    </xf>
    <xf numFmtId="0" fontId="8" fillId="0" borderId="0" xfId="0" applyFont="1" applyAlignment="1" applyProtection="1">
      <alignment horizontal="right" vertical="top" wrapText="1"/>
      <protection locked="0"/>
    </xf>
    <xf numFmtId="0" fontId="0" fillId="9" borderId="19" xfId="0" applyFill="1" applyBorder="1" applyAlignment="1" applyProtection="1">
      <alignment horizontal="left" vertical="center" wrapText="1"/>
      <protection locked="0"/>
    </xf>
    <xf numFmtId="0" fontId="13" fillId="13" borderId="18" xfId="0" applyFont="1" applyFill="1" applyBorder="1" applyAlignment="1" applyProtection="1">
      <alignment horizontal="center" vertical="center" wrapText="1"/>
      <protection locked="0"/>
    </xf>
    <xf numFmtId="0" fontId="8" fillId="0" borderId="22" xfId="0" applyFont="1" applyBorder="1" applyAlignment="1" applyProtection="1">
      <alignment horizontal="left" vertical="top" wrapText="1"/>
      <protection locked="0"/>
    </xf>
    <xf numFmtId="0" fontId="53" fillId="0" borderId="14" xfId="5" applyBorder="1" applyAlignment="1" applyProtection="1">
      <alignment horizontal="left" vertical="top"/>
      <protection locked="0"/>
    </xf>
    <xf numFmtId="0" fontId="8" fillId="13" borderId="18" xfId="0" applyFont="1" applyFill="1" applyBorder="1" applyAlignment="1" applyProtection="1">
      <alignment horizontal="left" vertical="center" wrapText="1"/>
      <protection locked="0"/>
    </xf>
    <xf numFmtId="0" fontId="8" fillId="0" borderId="21" xfId="0" applyFont="1" applyBorder="1" applyAlignment="1" applyProtection="1">
      <alignment horizontal="left" vertical="top" wrapText="1"/>
      <protection locked="0"/>
    </xf>
    <xf numFmtId="0" fontId="79" fillId="0" borderId="0" xfId="2" applyBorder="1" applyAlignment="1" applyProtection="1">
      <alignment wrapText="1"/>
      <protection locked="0"/>
    </xf>
    <xf numFmtId="3" fontId="79" fillId="10" borderId="18" xfId="2" applyNumberFormat="1" applyFill="1" applyBorder="1" applyAlignment="1" applyProtection="1">
      <alignment horizontal="right" vertical="center" wrapText="1"/>
      <protection locked="0"/>
    </xf>
    <xf numFmtId="3" fontId="0" fillId="9" borderId="18" xfId="0" applyNumberFormat="1" applyFill="1" applyBorder="1" applyAlignment="1" applyProtection="1">
      <alignment horizontal="left" vertical="center" wrapText="1"/>
      <protection locked="0"/>
    </xf>
    <xf numFmtId="9" fontId="0" fillId="9" borderId="18" xfId="0" applyNumberFormat="1" applyFill="1" applyBorder="1" applyAlignment="1" applyProtection="1">
      <alignment horizontal="right" vertical="center" wrapText="1"/>
      <protection locked="0"/>
    </xf>
    <xf numFmtId="14" fontId="0" fillId="9" borderId="18" xfId="0" applyNumberFormat="1" applyFill="1" applyBorder="1" applyAlignment="1" applyProtection="1">
      <alignment horizontal="right" vertical="center" wrapText="1"/>
      <protection locked="0"/>
    </xf>
    <xf numFmtId="3" fontId="0" fillId="2" borderId="18" xfId="0" applyNumberFormat="1" applyFill="1" applyBorder="1" applyAlignment="1" applyProtection="1">
      <alignment horizontal="right" vertical="center" wrapText="1"/>
      <protection locked="0"/>
    </xf>
    <xf numFmtId="0" fontId="25" fillId="0" borderId="21" xfId="0" applyFont="1" applyBorder="1" applyAlignment="1" applyProtection="1">
      <alignment wrapText="1"/>
      <protection locked="0"/>
    </xf>
    <xf numFmtId="0" fontId="51" fillId="0" borderId="21" xfId="1" applyFont="1" applyFill="1" applyBorder="1" applyAlignment="1" applyProtection="1">
      <alignment horizontal="left" wrapText="1"/>
      <protection locked="0"/>
    </xf>
    <xf numFmtId="49" fontId="8" fillId="9" borderId="18" xfId="0" applyNumberFormat="1" applyFont="1" applyFill="1" applyBorder="1" applyAlignment="1" applyProtection="1">
      <alignment horizontal="center" vertical="top" wrapText="1"/>
      <protection locked="0"/>
    </xf>
    <xf numFmtId="0" fontId="51" fillId="0" borderId="14" xfId="1" applyFont="1" applyFill="1" applyBorder="1" applyAlignment="1" applyProtection="1">
      <alignment horizontal="left" wrapText="1"/>
      <protection locked="0"/>
    </xf>
    <xf numFmtId="0" fontId="57" fillId="0" borderId="0" xfId="1" applyFont="1" applyFill="1" applyBorder="1" applyAlignment="1" applyProtection="1">
      <alignment horizontal="left" wrapText="1"/>
      <protection locked="0"/>
    </xf>
    <xf numFmtId="0" fontId="0" fillId="0" borderId="22" xfId="0" applyBorder="1" applyProtection="1">
      <protection locked="0"/>
    </xf>
    <xf numFmtId="0" fontId="10" fillId="0" borderId="14" xfId="0" applyFont="1" applyBorder="1" applyAlignment="1" applyProtection="1">
      <alignment horizontal="left" vertical="center" wrapText="1"/>
      <protection locked="0"/>
    </xf>
    <xf numFmtId="0" fontId="10" fillId="0" borderId="14" xfId="0" applyFont="1" applyBorder="1" applyAlignment="1" applyProtection="1">
      <alignment vertical="center" wrapText="1"/>
      <protection locked="0"/>
    </xf>
    <xf numFmtId="0" fontId="12" fillId="0" borderId="14" xfId="0" applyFont="1" applyBorder="1" applyAlignment="1" applyProtection="1">
      <alignment vertical="center" wrapText="1"/>
      <protection locked="0"/>
    </xf>
    <xf numFmtId="0" fontId="56" fillId="0" borderId="14" xfId="0" applyFont="1" applyBorder="1" applyProtection="1">
      <protection locked="0"/>
    </xf>
    <xf numFmtId="0" fontId="57" fillId="0" borderId="14" xfId="1" applyFont="1" applyFill="1" applyBorder="1" applyAlignment="1" applyProtection="1">
      <alignment horizontal="left" wrapText="1"/>
      <protection locked="0"/>
    </xf>
    <xf numFmtId="0" fontId="57" fillId="0" borderId="22" xfId="1" applyFont="1" applyFill="1" applyBorder="1" applyAlignment="1" applyProtection="1">
      <alignment horizontal="left" wrapText="1"/>
      <protection locked="0"/>
    </xf>
    <xf numFmtId="0" fontId="8" fillId="8" borderId="18" xfId="0" applyFont="1" applyFill="1" applyBorder="1" applyAlignment="1" applyProtection="1">
      <alignment vertical="center" wrapText="1"/>
      <protection locked="0"/>
    </xf>
    <xf numFmtId="0" fontId="8" fillId="8" borderId="14" xfId="0" applyFont="1" applyFill="1" applyBorder="1" applyAlignment="1" applyProtection="1">
      <alignment vertical="center" wrapText="1"/>
      <protection locked="0"/>
    </xf>
    <xf numFmtId="2" fontId="0" fillId="10" borderId="18" xfId="0" applyNumberFormat="1" applyFill="1" applyBorder="1" applyAlignment="1" applyProtection="1">
      <alignment horizontal="center" vertical="center"/>
      <protection locked="0"/>
    </xf>
    <xf numFmtId="0" fontId="0" fillId="0" borderId="14" xfId="0" applyBorder="1" applyProtection="1">
      <protection locked="0"/>
    </xf>
    <xf numFmtId="0" fontId="25" fillId="10" borderId="18" xfId="0" applyFont="1" applyFill="1" applyBorder="1" applyAlignment="1" applyProtection="1">
      <alignment horizontal="left" vertical="center"/>
      <protection locked="0"/>
    </xf>
    <xf numFmtId="0" fontId="0" fillId="14" borderId="18" xfId="0" applyFill="1" applyBorder="1" applyAlignment="1" applyProtection="1">
      <alignment wrapText="1"/>
      <protection locked="0"/>
    </xf>
    <xf numFmtId="0" fontId="0" fillId="9" borderId="18" xfId="0" applyFill="1" applyBorder="1" applyAlignment="1" applyProtection="1">
      <alignment horizontal="center" vertical="center"/>
      <protection locked="0"/>
    </xf>
    <xf numFmtId="0" fontId="0" fillId="10" borderId="18" xfId="0" applyFill="1" applyBorder="1" applyAlignment="1" applyProtection="1">
      <alignment horizontal="center" vertical="center"/>
      <protection locked="0"/>
    </xf>
    <xf numFmtId="0" fontId="37" fillId="0" borderId="22" xfId="0" applyFont="1" applyBorder="1" applyProtection="1">
      <protection locked="0"/>
    </xf>
    <xf numFmtId="0" fontId="0" fillId="0" borderId="22" xfId="0" applyBorder="1" applyAlignment="1" applyProtection="1">
      <alignment horizontal="center" vertical="center" wrapText="1"/>
      <protection locked="0"/>
    </xf>
    <xf numFmtId="0" fontId="64" fillId="0" borderId="0" xfId="0" applyFont="1" applyProtection="1">
      <protection locked="0"/>
    </xf>
    <xf numFmtId="0" fontId="0" fillId="0" borderId="24" xfId="0" applyBorder="1" applyProtection="1">
      <protection locked="0"/>
    </xf>
    <xf numFmtId="4" fontId="0" fillId="9" borderId="26" xfId="0" applyNumberFormat="1" applyFill="1" applyBorder="1" applyAlignment="1" applyProtection="1">
      <alignment horizontal="center" vertical="top" wrapText="1"/>
      <protection locked="0"/>
    </xf>
    <xf numFmtId="0" fontId="0" fillId="0" borderId="22" xfId="0" applyBorder="1"/>
    <xf numFmtId="3" fontId="0" fillId="9" borderId="18" xfId="0" applyNumberFormat="1" applyFill="1" applyBorder="1" applyAlignment="1">
      <alignment horizontal="right" vertical="center"/>
    </xf>
    <xf numFmtId="0" fontId="25" fillId="14" borderId="18" xfId="0" applyFont="1" applyFill="1" applyBorder="1" applyAlignment="1">
      <alignment horizontal="left" vertical="center"/>
    </xf>
    <xf numFmtId="4" fontId="25" fillId="9" borderId="18" xfId="0" applyNumberFormat="1" applyFont="1" applyFill="1" applyBorder="1" applyAlignment="1">
      <alignment horizontal="right" vertical="center"/>
    </xf>
    <xf numFmtId="0" fontId="25" fillId="14" borderId="18" xfId="0" applyFont="1" applyFill="1" applyBorder="1" applyAlignment="1">
      <alignment horizontal="center" vertical="center" wrapText="1"/>
    </xf>
    <xf numFmtId="0" fontId="19" fillId="0" borderId="21" xfId="0" applyFont="1" applyBorder="1" applyAlignment="1">
      <alignment horizontal="center" vertical="center"/>
    </xf>
    <xf numFmtId="0" fontId="25" fillId="14" borderId="18" xfId="0" applyFont="1" applyFill="1" applyBorder="1" applyAlignment="1">
      <alignment horizontal="center" vertical="center"/>
    </xf>
    <xf numFmtId="3" fontId="25" fillId="14" borderId="21" xfId="0" applyNumberFormat="1" applyFont="1" applyFill="1" applyBorder="1" applyAlignment="1">
      <alignment horizontal="center" vertical="center"/>
    </xf>
    <xf numFmtId="0" fontId="8" fillId="5" borderId="16" xfId="0" applyFont="1" applyFill="1" applyBorder="1" applyAlignment="1">
      <alignment horizontal="right" vertical="center" wrapText="1"/>
    </xf>
    <xf numFmtId="0" fontId="0" fillId="14" borderId="18" xfId="0" applyFill="1" applyBorder="1" applyAlignment="1">
      <alignment horizontal="left" vertical="center"/>
    </xf>
    <xf numFmtId="0" fontId="8" fillId="5" borderId="18" xfId="0" applyFont="1" applyFill="1" applyBorder="1" applyAlignment="1">
      <alignment horizontal="right" vertical="center" wrapText="1"/>
    </xf>
    <xf numFmtId="165" fontId="0" fillId="9" borderId="18" xfId="0" applyNumberFormat="1" applyFill="1" applyBorder="1" applyAlignment="1">
      <alignment horizontal="center" vertical="center"/>
    </xf>
    <xf numFmtId="0" fontId="25" fillId="14" borderId="18" xfId="0" applyFont="1" applyFill="1" applyBorder="1" applyAlignment="1">
      <alignment horizontal="left" vertical="center" wrapText="1"/>
    </xf>
    <xf numFmtId="3" fontId="25" fillId="9" borderId="18" xfId="0" applyNumberFormat="1" applyFont="1" applyFill="1" applyBorder="1" applyAlignment="1">
      <alignment horizontal="center" vertical="center"/>
    </xf>
    <xf numFmtId="3" fontId="25" fillId="9" borderId="18" xfId="0" applyNumberFormat="1" applyFont="1" applyFill="1" applyBorder="1" applyAlignment="1">
      <alignment horizontal="right" vertical="center"/>
    </xf>
    <xf numFmtId="165" fontId="25" fillId="9" borderId="18" xfId="0" applyNumberFormat="1" applyFont="1" applyFill="1" applyBorder="1" applyAlignment="1">
      <alignment horizontal="center" vertical="center"/>
    </xf>
    <xf numFmtId="165" fontId="0" fillId="9" borderId="18" xfId="0" applyNumberFormat="1" applyFill="1" applyBorder="1" applyAlignment="1">
      <alignment horizontal="right" vertical="center"/>
    </xf>
    <xf numFmtId="3" fontId="28" fillId="9" borderId="18" xfId="0" applyNumberFormat="1" applyFont="1" applyFill="1" applyBorder="1" applyAlignment="1">
      <alignment horizontal="center" vertical="center"/>
    </xf>
    <xf numFmtId="0" fontId="75" fillId="0" borderId="21" xfId="0" applyFont="1" applyBorder="1" applyAlignment="1">
      <alignment horizontal="center" vertical="center"/>
    </xf>
    <xf numFmtId="4" fontId="25" fillId="9" borderId="18" xfId="0" applyNumberFormat="1" applyFont="1" applyFill="1" applyBorder="1" applyAlignment="1">
      <alignment horizontal="center" vertical="center"/>
    </xf>
    <xf numFmtId="0" fontId="59" fillId="0" borderId="14" xfId="0" applyFont="1" applyBorder="1" applyAlignment="1">
      <alignment wrapText="1"/>
    </xf>
    <xf numFmtId="174" fontId="35" fillId="9" borderId="18" xfId="0" applyNumberFormat="1" applyFont="1" applyFill="1" applyBorder="1" applyAlignment="1">
      <alignment horizontal="center" vertical="center"/>
    </xf>
    <xf numFmtId="164" fontId="35" fillId="9" borderId="18" xfId="6" applyFont="1" applyFill="1" applyBorder="1" applyAlignment="1" applyProtection="1">
      <alignment horizontal="center" vertical="center"/>
    </xf>
    <xf numFmtId="0" fontId="77" fillId="0" borderId="22" xfId="4" applyFont="1" applyFill="1" applyBorder="1" applyAlignment="1" applyProtection="1">
      <alignment vertical="center"/>
      <protection locked="0"/>
    </xf>
    <xf numFmtId="0" fontId="71" fillId="0" borderId="0" xfId="2" applyFont="1" applyBorder="1" applyAlignment="1" applyProtection="1">
      <protection locked="0"/>
    </xf>
    <xf numFmtId="0" fontId="77" fillId="0" borderId="21" xfId="4" applyFont="1" applyFill="1" applyBorder="1" applyAlignment="1" applyProtection="1">
      <alignment vertical="center"/>
      <protection locked="0"/>
    </xf>
    <xf numFmtId="0" fontId="71" fillId="0" borderId="14" xfId="2" applyFont="1" applyBorder="1" applyAlignment="1" applyProtection="1">
      <protection locked="0"/>
    </xf>
    <xf numFmtId="0" fontId="45" fillId="0" borderId="21" xfId="4" applyFont="1" applyFill="1" applyBorder="1" applyAlignment="1" applyProtection="1">
      <alignment vertical="center"/>
      <protection locked="0"/>
    </xf>
    <xf numFmtId="0" fontId="60" fillId="0" borderId="21" xfId="0" applyFont="1" applyBorder="1" applyProtection="1">
      <protection locked="0"/>
    </xf>
    <xf numFmtId="0" fontId="77" fillId="0" borderId="14" xfId="4" applyFont="1" applyFill="1" applyBorder="1" applyAlignment="1" applyProtection="1">
      <alignment vertical="center"/>
      <protection locked="0"/>
    </xf>
    <xf numFmtId="3" fontId="28" fillId="9" borderId="18" xfId="6" applyNumberFormat="1" applyFont="1" applyFill="1" applyBorder="1" applyAlignment="1" applyProtection="1">
      <alignment horizontal="center" vertical="center"/>
      <protection locked="0"/>
    </xf>
    <xf numFmtId="170" fontId="28" fillId="9" borderId="18" xfId="6" applyNumberFormat="1" applyFont="1" applyFill="1" applyBorder="1" applyAlignment="1" applyProtection="1">
      <alignment horizontal="center" vertical="center"/>
      <protection locked="0"/>
    </xf>
    <xf numFmtId="10" fontId="28" fillId="9" borderId="18" xfId="4" applyNumberFormat="1" applyFont="1" applyFill="1" applyBorder="1" applyAlignment="1" applyProtection="1">
      <alignment horizontal="center" vertical="center"/>
      <protection locked="0"/>
    </xf>
    <xf numFmtId="0" fontId="22" fillId="0" borderId="14" xfId="2" applyFont="1" applyBorder="1" applyAlignment="1" applyProtection="1">
      <protection locked="0"/>
    </xf>
    <xf numFmtId="0" fontId="60" fillId="0" borderId="14" xfId="0" applyFont="1" applyBorder="1" applyProtection="1">
      <protection locked="0"/>
    </xf>
    <xf numFmtId="0" fontId="0" fillId="14" borderId="19" xfId="0" applyFill="1" applyBorder="1" applyAlignment="1" applyProtection="1">
      <alignment horizontal="center" vertical="center" wrapText="1"/>
      <protection locked="0"/>
    </xf>
    <xf numFmtId="170" fontId="28" fillId="9" borderId="19" xfId="6" applyNumberFormat="1" applyFont="1" applyFill="1" applyBorder="1" applyAlignment="1" applyProtection="1">
      <alignment horizontal="center" vertical="center"/>
      <protection locked="0"/>
    </xf>
    <xf numFmtId="10" fontId="28" fillId="9" borderId="19" xfId="4" applyNumberFormat="1" applyFont="1" applyFill="1" applyBorder="1" applyAlignment="1" applyProtection="1">
      <alignment horizontal="center" vertical="center"/>
      <protection locked="0"/>
    </xf>
    <xf numFmtId="0" fontId="23" fillId="0" borderId="0" xfId="2" applyFont="1" applyBorder="1" applyAlignment="1" applyProtection="1">
      <protection locked="0"/>
    </xf>
    <xf numFmtId="0" fontId="28" fillId="0" borderId="14" xfId="4" applyFont="1" applyFill="1" applyBorder="1" applyAlignment="1" applyProtection="1">
      <alignment vertical="center"/>
      <protection locked="0"/>
    </xf>
    <xf numFmtId="0" fontId="45" fillId="0" borderId="14" xfId="4" applyFont="1" applyFill="1" applyBorder="1" applyAlignment="1" applyProtection="1">
      <alignment vertical="center"/>
      <protection locked="0"/>
    </xf>
    <xf numFmtId="0" fontId="58" fillId="0" borderId="14" xfId="0" applyFont="1" applyBorder="1" applyAlignment="1">
      <alignment horizontal="center" vertical="center" wrapText="1"/>
    </xf>
    <xf numFmtId="0" fontId="71" fillId="0" borderId="21" xfId="2" applyFont="1" applyBorder="1" applyAlignment="1" applyProtection="1">
      <protection locked="0"/>
    </xf>
    <xf numFmtId="49" fontId="32" fillId="9" borderId="18" xfId="0" applyNumberFormat="1" applyFont="1" applyFill="1" applyBorder="1" applyAlignment="1" applyProtection="1">
      <alignment horizontal="left" vertical="top" wrapText="1"/>
      <protection locked="0"/>
    </xf>
    <xf numFmtId="166" fontId="0" fillId="9" borderId="18" xfId="0" applyNumberFormat="1" applyFill="1" applyBorder="1" applyAlignment="1" applyProtection="1">
      <alignment horizontal="left" vertical="top" wrapText="1"/>
      <protection locked="0"/>
    </xf>
    <xf numFmtId="0" fontId="53" fillId="0" borderId="21" xfId="5" applyBorder="1" applyProtection="1">
      <protection locked="0"/>
    </xf>
    <xf numFmtId="0" fontId="53" fillId="0" borderId="22" xfId="5" applyBorder="1" applyAlignment="1" applyProtection="1">
      <protection locked="0"/>
    </xf>
    <xf numFmtId="0" fontId="8" fillId="14" borderId="18" xfId="0" applyFont="1" applyFill="1" applyBorder="1" applyAlignment="1" applyProtection="1">
      <alignment horizontal="center" vertical="top" wrapText="1"/>
      <protection locked="0"/>
    </xf>
    <xf numFmtId="0" fontId="39" fillId="14" borderId="18" xfId="0" applyFont="1" applyFill="1" applyBorder="1" applyAlignment="1">
      <alignment horizontal="center"/>
    </xf>
    <xf numFmtId="0" fontId="53" fillId="0" borderId="0" xfId="5" applyBorder="1" applyAlignment="1" applyProtection="1">
      <alignment horizontal="left" vertical="top"/>
      <protection locked="0"/>
    </xf>
    <xf numFmtId="0" fontId="62" fillId="0" borderId="21" xfId="0" applyFont="1" applyBorder="1" applyAlignment="1" applyProtection="1">
      <alignment horizontal="left" vertical="top"/>
      <protection locked="0"/>
    </xf>
    <xf numFmtId="0" fontId="0" fillId="10" borderId="18" xfId="0" applyFill="1" applyBorder="1" applyAlignment="1" applyProtection="1">
      <alignment horizontal="center" vertical="center" wrapText="1"/>
      <protection locked="0"/>
    </xf>
    <xf numFmtId="2" fontId="0" fillId="9" borderId="18" xfId="0" applyNumberFormat="1" applyFill="1" applyBorder="1" applyAlignment="1" applyProtection="1">
      <alignment horizontal="center" vertical="center"/>
      <protection locked="0"/>
    </xf>
    <xf numFmtId="0" fontId="13" fillId="0" borderId="14" xfId="0" applyFont="1" applyBorder="1" applyAlignment="1" applyProtection="1">
      <alignment vertical="top"/>
      <protection locked="0"/>
    </xf>
    <xf numFmtId="0" fontId="53" fillId="0" borderId="21" xfId="5" applyBorder="1" applyAlignment="1" applyProtection="1">
      <alignment horizontal="left" vertical="top" wrapText="1"/>
      <protection locked="0"/>
    </xf>
    <xf numFmtId="0" fontId="51" fillId="0" borderId="0" xfId="1" applyFont="1" applyFill="1" applyBorder="1" applyAlignment="1" applyProtection="1">
      <alignment horizontal="left" vertical="top"/>
      <protection locked="0"/>
    </xf>
    <xf numFmtId="0" fontId="15" fillId="0" borderId="14" xfId="0" applyFont="1" applyBorder="1" applyAlignment="1" applyProtection="1">
      <alignment vertical="top" wrapText="1"/>
      <protection locked="0"/>
    </xf>
    <xf numFmtId="0" fontId="0" fillId="10" borderId="18" xfId="0" applyFill="1" applyBorder="1" applyAlignment="1" applyProtection="1">
      <alignment horizontal="center" wrapText="1"/>
      <protection locked="0"/>
    </xf>
    <xf numFmtId="0" fontId="25" fillId="0" borderId="28" xfId="0" applyFont="1" applyBorder="1" applyAlignment="1" applyProtection="1">
      <alignment wrapText="1"/>
      <protection locked="0"/>
    </xf>
    <xf numFmtId="0" fontId="0" fillId="0" borderId="28" xfId="0" applyBorder="1"/>
    <xf numFmtId="0" fontId="0" fillId="0" borderId="28" xfId="0" applyBorder="1" applyAlignment="1" applyProtection="1">
      <alignment wrapText="1"/>
      <protection locked="0"/>
    </xf>
    <xf numFmtId="0" fontId="50" fillId="5" borderId="18" xfId="0" applyFont="1" applyFill="1" applyBorder="1" applyAlignment="1" applyProtection="1">
      <alignment horizontal="right" vertical="center" wrapText="1"/>
      <protection locked="0"/>
    </xf>
    <xf numFmtId="0" fontId="47" fillId="0" borderId="0" xfId="0" applyFont="1" applyAlignment="1" applyProtection="1">
      <alignment horizontal="center" wrapText="1"/>
      <protection locked="0"/>
    </xf>
    <xf numFmtId="0" fontId="8" fillId="5" borderId="20" xfId="0" applyFont="1" applyFill="1" applyBorder="1" applyAlignment="1">
      <alignment horizontal="right" vertical="center" wrapText="1"/>
    </xf>
    <xf numFmtId="0" fontId="50" fillId="5" borderId="16" xfId="0" applyFont="1" applyFill="1" applyBorder="1" applyAlignment="1" applyProtection="1">
      <alignment horizontal="right" vertical="center" wrapText="1"/>
      <protection locked="0"/>
    </xf>
    <xf numFmtId="0" fontId="8" fillId="14" borderId="0" xfId="0" applyFont="1" applyFill="1" applyAlignment="1" applyProtection="1">
      <alignment horizontal="left" vertical="top" wrapText="1"/>
      <protection locked="0"/>
    </xf>
    <xf numFmtId="0" fontId="0" fillId="14" borderId="17" xfId="0" applyFill="1" applyBorder="1" applyAlignment="1" applyProtection="1">
      <alignment horizontal="center" vertical="center" wrapText="1"/>
      <protection locked="0"/>
    </xf>
    <xf numFmtId="0" fontId="0" fillId="14" borderId="17" xfId="0" applyFill="1" applyBorder="1" applyAlignment="1" applyProtection="1">
      <alignment horizontal="left" vertical="center" wrapText="1"/>
      <protection locked="0"/>
    </xf>
    <xf numFmtId="0" fontId="45" fillId="0" borderId="29" xfId="4" applyFont="1" applyFill="1" applyBorder="1" applyAlignment="1" applyProtection="1">
      <alignment vertical="center"/>
      <protection locked="0"/>
    </xf>
    <xf numFmtId="0" fontId="68" fillId="10" borderId="16" xfId="0" applyFont="1" applyFill="1" applyBorder="1" applyAlignment="1" applyProtection="1">
      <alignment vertical="top"/>
      <protection locked="0"/>
    </xf>
    <xf numFmtId="0" fontId="32" fillId="13" borderId="16" xfId="0" applyFont="1" applyFill="1" applyBorder="1" applyAlignment="1" applyProtection="1">
      <alignment horizontal="center" vertical="top"/>
      <protection locked="0"/>
    </xf>
    <xf numFmtId="0" fontId="0" fillId="14" borderId="16" xfId="0" applyFill="1" applyBorder="1" applyAlignment="1" applyProtection="1">
      <alignment horizontal="center" vertical="center" wrapText="1"/>
      <protection locked="0"/>
    </xf>
    <xf numFmtId="0" fontId="47" fillId="14" borderId="16" xfId="0" applyFont="1" applyFill="1" applyBorder="1" applyAlignment="1" applyProtection="1">
      <alignment horizontal="center" vertical="center" wrapText="1"/>
      <protection locked="0"/>
    </xf>
    <xf numFmtId="0" fontId="0" fillId="14" borderId="16" xfId="0" applyFill="1" applyBorder="1" applyAlignment="1" applyProtection="1">
      <alignment horizontal="left" vertical="center" wrapText="1"/>
      <protection locked="0"/>
    </xf>
    <xf numFmtId="169" fontId="0" fillId="10" borderId="16" xfId="0" applyNumberFormat="1" applyFill="1" applyBorder="1" applyAlignment="1" applyProtection="1">
      <alignment horizontal="center" vertical="center"/>
      <protection locked="0"/>
    </xf>
    <xf numFmtId="167" fontId="0" fillId="10" borderId="16" xfId="0" applyNumberFormat="1" applyFill="1" applyBorder="1" applyAlignment="1" applyProtection="1">
      <alignment horizontal="center" vertical="center"/>
      <protection locked="0"/>
    </xf>
    <xf numFmtId="165" fontId="0" fillId="10" borderId="16" xfId="0" applyNumberFormat="1" applyFill="1" applyBorder="1" applyAlignment="1" applyProtection="1">
      <alignment horizontal="center" vertical="center"/>
      <protection locked="0"/>
    </xf>
    <xf numFmtId="169" fontId="0" fillId="9" borderId="16" xfId="0" applyNumberFormat="1" applyFill="1" applyBorder="1" applyAlignment="1" applyProtection="1">
      <alignment horizontal="center" vertical="center"/>
      <protection locked="0"/>
    </xf>
    <xf numFmtId="165" fontId="0" fillId="9" borderId="16" xfId="0" applyNumberFormat="1" applyFill="1" applyBorder="1" applyAlignment="1" applyProtection="1">
      <alignment horizontal="center" vertical="center"/>
      <protection locked="0"/>
    </xf>
    <xf numFmtId="0" fontId="27" fillId="0" borderId="0" xfId="5" applyFont="1" applyBorder="1" applyAlignment="1" applyProtection="1">
      <alignment horizontal="left" vertical="top"/>
      <protection locked="0"/>
    </xf>
    <xf numFmtId="0" fontId="15" fillId="10" borderId="0" xfId="0" applyFont="1" applyFill="1" applyAlignment="1" applyProtection="1">
      <alignment horizontal="left" vertical="top" wrapText="1"/>
      <protection locked="0"/>
    </xf>
    <xf numFmtId="0" fontId="15" fillId="10" borderId="0" xfId="0" applyFont="1" applyFill="1" applyAlignment="1" applyProtection="1">
      <alignment horizontal="left" vertical="top"/>
      <protection locked="0"/>
    </xf>
    <xf numFmtId="10" fontId="15" fillId="18" borderId="0" xfId="0" applyNumberFormat="1" applyFont="1" applyFill="1" applyAlignment="1" applyProtection="1">
      <alignment horizontal="left" vertical="top" wrapText="1"/>
      <protection locked="0"/>
    </xf>
    <xf numFmtId="0" fontId="15" fillId="18" borderId="0" xfId="0" applyFont="1" applyFill="1" applyAlignment="1" applyProtection="1">
      <alignment horizontal="left" vertical="top" wrapText="1"/>
      <protection locked="0"/>
    </xf>
    <xf numFmtId="0" fontId="0" fillId="14" borderId="0" xfId="0" applyFill="1" applyAlignment="1">
      <alignment horizontal="center"/>
    </xf>
    <xf numFmtId="0" fontId="8" fillId="14" borderId="0" xfId="0" applyFont="1" applyFill="1" applyAlignment="1" applyProtection="1">
      <alignment horizontal="left" vertical="top"/>
      <protection locked="0"/>
    </xf>
    <xf numFmtId="2" fontId="8" fillId="14" borderId="0" xfId="0" applyNumberFormat="1" applyFont="1" applyFill="1" applyAlignment="1" applyProtection="1">
      <alignment horizontal="left" vertical="top"/>
      <protection locked="0"/>
    </xf>
    <xf numFmtId="10" fontId="0" fillId="14" borderId="0" xfId="0" applyNumberFormat="1" applyFill="1"/>
    <xf numFmtId="0" fontId="0" fillId="14" borderId="0" xfId="0" applyFill="1" applyProtection="1">
      <protection locked="0"/>
    </xf>
    <xf numFmtId="10" fontId="0" fillId="14" borderId="0" xfId="0" applyNumberFormat="1" applyFill="1" applyProtection="1">
      <protection locked="0"/>
    </xf>
    <xf numFmtId="2" fontId="15" fillId="14" borderId="0" xfId="0" applyNumberFormat="1" applyFont="1" applyFill="1" applyAlignment="1" applyProtection="1">
      <alignment horizontal="left" vertical="top"/>
      <protection locked="0"/>
    </xf>
    <xf numFmtId="0" fontId="0" fillId="14" borderId="14" xfId="0" applyFill="1" applyBorder="1" applyAlignment="1" applyProtection="1">
      <alignment horizontal="left" vertical="center" wrapText="1"/>
      <protection locked="0"/>
    </xf>
    <xf numFmtId="0" fontId="0" fillId="14" borderId="14" xfId="0" applyFill="1" applyBorder="1" applyAlignment="1" applyProtection="1">
      <alignment horizontal="left" vertical="center"/>
      <protection locked="0"/>
    </xf>
    <xf numFmtId="0" fontId="0" fillId="10" borderId="19" xfId="0" applyFill="1" applyBorder="1" applyAlignment="1" applyProtection="1">
      <alignment horizontal="center" wrapText="1"/>
      <protection locked="0"/>
    </xf>
    <xf numFmtId="0" fontId="0" fillId="10" borderId="17" xfId="0" applyFill="1" applyBorder="1" applyAlignment="1" applyProtection="1">
      <alignment horizontal="center" wrapText="1"/>
      <protection locked="0"/>
    </xf>
    <xf numFmtId="0" fontId="0" fillId="10" borderId="16" xfId="0" applyFill="1" applyBorder="1" applyAlignment="1" applyProtection="1">
      <alignment horizontal="center" wrapText="1"/>
      <protection locked="0"/>
    </xf>
    <xf numFmtId="0" fontId="10" fillId="0" borderId="36" xfId="0" applyFont="1" applyBorder="1" applyAlignment="1" applyProtection="1">
      <alignment horizontal="left" vertical="center" wrapText="1"/>
      <protection locked="0"/>
    </xf>
    <xf numFmtId="0" fontId="13" fillId="0" borderId="0" xfId="0" applyFont="1" applyAlignment="1" applyProtection="1">
      <alignment vertical="top"/>
      <protection locked="0"/>
    </xf>
    <xf numFmtId="0" fontId="0" fillId="0" borderId="0" xfId="0" applyAlignment="1">
      <alignment horizontal="left" indent="5"/>
    </xf>
    <xf numFmtId="0" fontId="10" fillId="14" borderId="17" xfId="0" applyFont="1" applyFill="1" applyBorder="1" applyAlignment="1" applyProtection="1">
      <alignment vertical="center" wrapText="1"/>
      <protection locked="0"/>
    </xf>
    <xf numFmtId="0" fontId="10" fillId="14" borderId="15" xfId="0" applyFont="1" applyFill="1" applyBorder="1" applyAlignment="1" applyProtection="1">
      <alignment vertical="center" wrapText="1"/>
      <protection locked="0"/>
    </xf>
    <xf numFmtId="0" fontId="0" fillId="0" borderId="36" xfId="0" applyBorder="1" applyProtection="1">
      <protection locked="0"/>
    </xf>
    <xf numFmtId="0" fontId="0" fillId="0" borderId="22" xfId="0" applyBorder="1" applyAlignment="1" applyProtection="1">
      <alignment vertical="center" wrapText="1"/>
      <protection locked="0"/>
    </xf>
    <xf numFmtId="0" fontId="25" fillId="14" borderId="21" xfId="0" applyFont="1" applyFill="1" applyBorder="1" applyAlignment="1">
      <alignment horizontal="center" vertical="center" wrapText="1"/>
    </xf>
    <xf numFmtId="0" fontId="25" fillId="14" borderId="16" xfId="0" applyFont="1" applyFill="1" applyBorder="1" applyAlignment="1">
      <alignment horizontal="center" vertical="center"/>
    </xf>
    <xf numFmtId="0" fontId="28" fillId="14" borderId="17" xfId="0" applyFont="1" applyFill="1" applyBorder="1" applyAlignment="1">
      <alignment horizontal="left" vertical="center"/>
    </xf>
    <xf numFmtId="174" fontId="35" fillId="14" borderId="20" xfId="0" applyNumberFormat="1" applyFont="1" applyFill="1" applyBorder="1" applyAlignment="1">
      <alignment horizontal="center" vertical="center"/>
    </xf>
    <xf numFmtId="0" fontId="0" fillId="14" borderId="17" xfId="0" applyFill="1" applyBorder="1" applyAlignment="1">
      <alignment horizontal="left" vertical="center"/>
    </xf>
    <xf numFmtId="164" fontId="35" fillId="14" borderId="20" xfId="6" applyFont="1" applyFill="1" applyBorder="1" applyAlignment="1" applyProtection="1">
      <alignment horizontal="center" vertical="center"/>
    </xf>
    <xf numFmtId="0" fontId="0" fillId="14" borderId="9" xfId="0" applyFill="1" applyBorder="1" applyAlignment="1" applyProtection="1">
      <alignment horizontal="center" vertical="center" wrapText="1"/>
      <protection locked="0"/>
    </xf>
    <xf numFmtId="0" fontId="0" fillId="9" borderId="9" xfId="0" applyFill="1" applyBorder="1" applyAlignment="1" applyProtection="1">
      <alignment horizontal="center" vertical="top" wrapText="1"/>
      <protection locked="0"/>
    </xf>
    <xf numFmtId="0" fontId="0" fillId="14" borderId="37" xfId="0" applyFill="1" applyBorder="1" applyAlignment="1" applyProtection="1">
      <alignment horizontal="center" vertical="center" wrapText="1"/>
      <protection locked="0"/>
    </xf>
    <xf numFmtId="0" fontId="14" fillId="4" borderId="9" xfId="0" applyFont="1" applyFill="1" applyBorder="1" applyAlignment="1" applyProtection="1">
      <alignment horizontal="left" vertical="center" wrapText="1"/>
      <protection locked="0"/>
    </xf>
    <xf numFmtId="0" fontId="0" fillId="14" borderId="9" xfId="0" applyFill="1" applyBorder="1" applyAlignment="1" applyProtection="1">
      <alignment horizontal="left" vertical="center" wrapText="1"/>
      <protection locked="0"/>
    </xf>
    <xf numFmtId="0" fontId="0" fillId="14" borderId="9" xfId="0" applyFill="1" applyBorder="1" applyAlignment="1" applyProtection="1">
      <alignment vertical="center" wrapText="1"/>
      <protection locked="0"/>
    </xf>
    <xf numFmtId="165" fontId="61" fillId="10" borderId="8" xfId="0" quotePrefix="1" applyNumberFormat="1" applyFont="1" applyFill="1" applyBorder="1" applyAlignment="1" applyProtection="1">
      <alignment horizontal="center" vertical="top"/>
      <protection locked="0"/>
    </xf>
    <xf numFmtId="3" fontId="28" fillId="9" borderId="16" xfId="6" applyNumberFormat="1" applyFont="1" applyFill="1" applyBorder="1" applyAlignment="1" applyProtection="1">
      <alignment horizontal="center" vertical="center"/>
      <protection locked="0"/>
    </xf>
    <xf numFmtId="0" fontId="52" fillId="11" borderId="0" xfId="1" applyFont="1" applyFill="1" applyBorder="1" applyAlignment="1" applyProtection="1">
      <protection locked="0"/>
    </xf>
    <xf numFmtId="0" fontId="69" fillId="0" borderId="0" xfId="0" applyFont="1"/>
    <xf numFmtId="0" fontId="0" fillId="0" borderId="7" xfId="0" applyBorder="1" applyAlignment="1" applyProtection="1">
      <alignment vertical="center" wrapText="1"/>
      <protection locked="0"/>
    </xf>
    <xf numFmtId="0" fontId="0" fillId="0" borderId="38" xfId="0" applyBorder="1" applyProtection="1">
      <protection locked="0"/>
    </xf>
    <xf numFmtId="3" fontId="35" fillId="9" borderId="16" xfId="6" applyNumberFormat="1" applyFont="1" applyFill="1" applyBorder="1" applyAlignment="1" applyProtection="1">
      <alignment horizontal="center" vertical="center"/>
      <protection locked="0"/>
    </xf>
    <xf numFmtId="0" fontId="0" fillId="11" borderId="0" xfId="0" applyFill="1"/>
    <xf numFmtId="0" fontId="54" fillId="0" borderId="36" xfId="4" applyFont="1" applyFill="1" applyBorder="1" applyAlignment="1" applyProtection="1">
      <alignment vertical="center"/>
      <protection locked="0"/>
    </xf>
    <xf numFmtId="0" fontId="45" fillId="0" borderId="36" xfId="4" applyFont="1" applyFill="1" applyBorder="1" applyAlignment="1" applyProtection="1">
      <alignment vertical="center"/>
      <protection locked="0"/>
    </xf>
    <xf numFmtId="0" fontId="81" fillId="0" borderId="0" xfId="8">
      <protection locked="0"/>
    </xf>
    <xf numFmtId="11" fontId="0" fillId="0" borderId="0" xfId="0" applyNumberFormat="1" applyProtection="1">
      <protection locked="0"/>
    </xf>
    <xf numFmtId="0" fontId="82" fillId="0" borderId="0" xfId="0" applyFont="1" applyProtection="1">
      <protection locked="0"/>
    </xf>
    <xf numFmtId="11" fontId="0" fillId="9" borderId="41" xfId="0" applyNumberFormat="1" applyFill="1" applyBorder="1" applyProtection="1">
      <protection locked="0"/>
    </xf>
    <xf numFmtId="11" fontId="0" fillId="9" borderId="0" xfId="0" applyNumberFormat="1" applyFill="1" applyProtection="1">
      <protection locked="0"/>
    </xf>
    <xf numFmtId="11" fontId="0" fillId="9" borderId="42" xfId="0" applyNumberFormat="1" applyFill="1" applyBorder="1" applyProtection="1">
      <protection locked="0"/>
    </xf>
    <xf numFmtId="11" fontId="83" fillId="9" borderId="41" xfId="0" applyNumberFormat="1" applyFont="1" applyFill="1" applyBorder="1" applyAlignment="1" applyProtection="1">
      <alignment horizontal="left" vertical="center" indent="1"/>
      <protection locked="0"/>
    </xf>
    <xf numFmtId="11" fontId="82" fillId="9" borderId="0" xfId="0" applyNumberFormat="1" applyFont="1" applyFill="1" applyProtection="1">
      <protection locked="0"/>
    </xf>
    <xf numFmtId="11" fontId="82" fillId="9" borderId="42" xfId="0" applyNumberFormat="1" applyFont="1" applyFill="1" applyBorder="1" applyProtection="1">
      <protection locked="0"/>
    </xf>
    <xf numFmtId="11" fontId="28" fillId="9" borderId="41" xfId="0" applyNumberFormat="1" applyFont="1" applyFill="1" applyBorder="1" applyProtection="1">
      <protection locked="0"/>
    </xf>
    <xf numFmtId="49" fontId="83" fillId="9" borderId="41" xfId="0" applyNumberFormat="1" applyFont="1" applyFill="1" applyBorder="1" applyAlignment="1" applyProtection="1">
      <alignment horizontal="left" vertical="center" indent="1"/>
      <protection locked="0"/>
    </xf>
    <xf numFmtId="11" fontId="84" fillId="9" borderId="41" xfId="0" applyNumberFormat="1" applyFont="1" applyFill="1" applyBorder="1" applyAlignment="1" applyProtection="1">
      <alignment horizontal="left" vertical="center" indent="1"/>
      <protection locked="0"/>
    </xf>
    <xf numFmtId="11" fontId="0" fillId="17" borderId="28" xfId="0" applyNumberFormat="1" applyFill="1" applyBorder="1" applyProtection="1">
      <protection locked="0"/>
    </xf>
    <xf numFmtId="11" fontId="0" fillId="17" borderId="40" xfId="0" applyNumberFormat="1" applyFill="1" applyBorder="1" applyProtection="1">
      <protection locked="0"/>
    </xf>
    <xf numFmtId="11" fontId="71" fillId="17" borderId="41" xfId="0" applyNumberFormat="1" applyFont="1" applyFill="1" applyBorder="1" applyProtection="1">
      <protection locked="0"/>
    </xf>
    <xf numFmtId="11" fontId="0" fillId="17" borderId="0" xfId="0" applyNumberFormat="1" applyFill="1" applyProtection="1">
      <protection locked="0"/>
    </xf>
    <xf numFmtId="11" fontId="0" fillId="17" borderId="42" xfId="0" applyNumberFormat="1" applyFill="1" applyBorder="1" applyProtection="1">
      <protection locked="0"/>
    </xf>
    <xf numFmtId="11" fontId="0" fillId="17" borderId="41" xfId="0" applyNumberFormat="1" applyFill="1" applyBorder="1" applyProtection="1">
      <protection locked="0"/>
    </xf>
    <xf numFmtId="14" fontId="0" fillId="17" borderId="42" xfId="0" applyNumberFormat="1" applyFill="1" applyBorder="1" applyProtection="1">
      <protection locked="0"/>
    </xf>
    <xf numFmtId="14" fontId="0" fillId="17" borderId="0" xfId="0" applyNumberFormat="1" applyFill="1" applyProtection="1">
      <protection locked="0"/>
    </xf>
    <xf numFmtId="11" fontId="0" fillId="17" borderId="43" xfId="0" applyNumberFormat="1" applyFill="1" applyBorder="1" applyProtection="1">
      <protection locked="0"/>
    </xf>
    <xf numFmtId="11" fontId="0" fillId="17" borderId="5" xfId="0" applyNumberFormat="1" applyFill="1" applyBorder="1" applyProtection="1">
      <protection locked="0"/>
    </xf>
    <xf numFmtId="11" fontId="0" fillId="17" borderId="44" xfId="0" applyNumberFormat="1" applyFill="1" applyBorder="1" applyProtection="1">
      <protection locked="0"/>
    </xf>
    <xf numFmtId="175" fontId="0" fillId="10" borderId="18" xfId="0" applyNumberFormat="1" applyFill="1" applyBorder="1" applyAlignment="1" applyProtection="1">
      <alignment horizontal="center" vertical="center" wrapText="1"/>
      <protection locked="0"/>
    </xf>
    <xf numFmtId="49" fontId="25" fillId="0" borderId="0" xfId="0" applyNumberFormat="1" applyFont="1" applyAlignment="1" applyProtection="1">
      <alignment wrapText="1"/>
      <protection locked="0"/>
    </xf>
    <xf numFmtId="49" fontId="86" fillId="0" borderId="0" xfId="0" applyNumberFormat="1" applyFont="1" applyAlignment="1" applyProtection="1">
      <alignment wrapText="1"/>
      <protection locked="0"/>
    </xf>
    <xf numFmtId="0" fontId="8" fillId="13" borderId="16" xfId="0" applyFont="1" applyFill="1" applyBorder="1" applyAlignment="1" applyProtection="1">
      <alignment horizontal="center" vertical="center" wrapText="1"/>
      <protection locked="0"/>
    </xf>
    <xf numFmtId="0" fontId="0" fillId="14" borderId="16" xfId="0" applyFill="1" applyBorder="1" applyAlignment="1" applyProtection="1">
      <alignment vertical="center" wrapText="1"/>
      <protection locked="0"/>
    </xf>
    <xf numFmtId="0" fontId="47" fillId="14" borderId="19" xfId="0" applyFont="1" applyFill="1" applyBorder="1" applyAlignment="1" applyProtection="1">
      <alignment vertical="center" wrapText="1"/>
      <protection locked="0"/>
    </xf>
    <xf numFmtId="3" fontId="0" fillId="9" borderId="16" xfId="0" applyNumberFormat="1" applyFill="1" applyBorder="1" applyAlignment="1" applyProtection="1">
      <alignment horizontal="left" vertical="center" wrapText="1"/>
      <protection locked="0"/>
    </xf>
    <xf numFmtId="3" fontId="0" fillId="9" borderId="16" xfId="0" applyNumberFormat="1" applyFill="1" applyBorder="1" applyAlignment="1" applyProtection="1">
      <alignment horizontal="right" vertical="center" wrapText="1"/>
      <protection locked="0"/>
    </xf>
    <xf numFmtId="3" fontId="15" fillId="9" borderId="16" xfId="2" applyNumberFormat="1" applyFont="1" applyFill="1" applyBorder="1" applyAlignment="1" applyProtection="1">
      <alignment horizontal="center" vertical="center" wrapText="1"/>
      <protection locked="0"/>
    </xf>
    <xf numFmtId="3" fontId="0" fillId="9" borderId="17" xfId="0" applyNumberFormat="1" applyFill="1" applyBorder="1" applyAlignment="1" applyProtection="1">
      <alignment horizontal="right" vertical="center" wrapText="1"/>
      <protection locked="0"/>
    </xf>
    <xf numFmtId="10" fontId="0" fillId="0" borderId="0" xfId="3" applyNumberFormat="1" applyFont="1"/>
    <xf numFmtId="10" fontId="0" fillId="10" borderId="18" xfId="0" applyNumberFormat="1" applyFill="1" applyBorder="1" applyAlignment="1" applyProtection="1">
      <alignment horizontal="center" vertical="center"/>
      <protection locked="0"/>
    </xf>
    <xf numFmtId="10" fontId="0" fillId="15" borderId="18" xfId="0" applyNumberFormat="1" applyFill="1" applyBorder="1" applyAlignment="1" applyProtection="1">
      <alignment horizontal="center" vertical="center"/>
      <protection locked="0"/>
    </xf>
    <xf numFmtId="0" fontId="39" fillId="14" borderId="16" xfId="0" applyFont="1" applyFill="1" applyBorder="1" applyAlignment="1" applyProtection="1">
      <alignment horizontal="center" vertical="center" wrapText="1"/>
      <protection locked="0"/>
    </xf>
    <xf numFmtId="0" fontId="39" fillId="14" borderId="18" xfId="0" applyFont="1" applyFill="1" applyBorder="1" applyAlignment="1" applyProtection="1">
      <alignment horizontal="center" vertical="center" wrapText="1"/>
      <protection locked="0"/>
    </xf>
    <xf numFmtId="2" fontId="39" fillId="10" borderId="16" xfId="0" applyNumberFormat="1" applyFont="1" applyFill="1" applyBorder="1" applyAlignment="1" applyProtection="1">
      <alignment horizontal="center" vertical="center"/>
      <protection locked="0"/>
    </xf>
    <xf numFmtId="0" fontId="0" fillId="9" borderId="16" xfId="0" applyFill="1" applyBorder="1" applyAlignment="1" applyProtection="1">
      <alignment horizontal="center" vertical="top" wrapText="1"/>
      <protection locked="0"/>
    </xf>
    <xf numFmtId="2" fontId="39" fillId="10" borderId="52" xfId="0" applyNumberFormat="1" applyFont="1" applyFill="1" applyBorder="1" applyAlignment="1" applyProtection="1">
      <alignment horizontal="center" vertical="center"/>
      <protection locked="0"/>
    </xf>
    <xf numFmtId="49" fontId="13" fillId="9" borderId="18" xfId="0" applyNumberFormat="1" applyFont="1" applyFill="1" applyBorder="1" applyAlignment="1" applyProtection="1">
      <alignment horizontal="center" vertical="top" wrapText="1"/>
      <protection locked="0"/>
    </xf>
    <xf numFmtId="0" fontId="37" fillId="19" borderId="53" xfId="0" applyFont="1" applyFill="1" applyBorder="1"/>
    <xf numFmtId="0" fontId="0" fillId="20" borderId="53" xfId="0" applyFill="1" applyBorder="1"/>
    <xf numFmtId="0" fontId="0" fillId="0" borderId="53" xfId="0" applyBorder="1"/>
    <xf numFmtId="0" fontId="0" fillId="14" borderId="16" xfId="0" applyFill="1" applyBorder="1" applyAlignment="1" applyProtection="1">
      <alignment horizontal="center" vertical="top" wrapText="1"/>
      <protection locked="0"/>
    </xf>
    <xf numFmtId="0" fontId="25" fillId="14" borderId="14" xfId="0" applyFont="1" applyFill="1" applyBorder="1" applyAlignment="1">
      <alignment horizontal="centerContinuous" vertical="center"/>
    </xf>
    <xf numFmtId="0" fontId="25" fillId="14" borderId="19" xfId="0" applyFont="1" applyFill="1" applyBorder="1" applyAlignment="1">
      <alignment horizontal="center" vertical="center"/>
    </xf>
    <xf numFmtId="0" fontId="25" fillId="14" borderId="35" xfId="0" applyFont="1" applyFill="1" applyBorder="1" applyAlignment="1">
      <alignment horizontal="center" vertical="center" wrapText="1"/>
    </xf>
    <xf numFmtId="0" fontId="25" fillId="14" borderId="54" xfId="0" applyFont="1" applyFill="1" applyBorder="1" applyAlignment="1">
      <alignment horizontal="center" vertical="center" wrapText="1"/>
    </xf>
    <xf numFmtId="0" fontId="0" fillId="14" borderId="16" xfId="0" applyFill="1" applyBorder="1" applyAlignment="1">
      <alignment horizontal="left" vertical="center"/>
    </xf>
    <xf numFmtId="3" fontId="25" fillId="14" borderId="35" xfId="0" applyNumberFormat="1" applyFont="1" applyFill="1" applyBorder="1" applyAlignment="1">
      <alignment horizontal="center" vertical="center"/>
    </xf>
    <xf numFmtId="0" fontId="25" fillId="14" borderId="17" xfId="0" applyFont="1" applyFill="1" applyBorder="1" applyAlignment="1">
      <alignment horizontal="center" vertical="center" wrapText="1"/>
    </xf>
    <xf numFmtId="0" fontId="25" fillId="14" borderId="16" xfId="0" applyFont="1" applyFill="1" applyBorder="1" applyAlignment="1">
      <alignment horizontal="center" vertical="center" wrapText="1"/>
    </xf>
    <xf numFmtId="0" fontId="25" fillId="14" borderId="16" xfId="0" applyFont="1" applyFill="1" applyBorder="1" applyAlignment="1">
      <alignment horizontal="left" vertical="center" wrapText="1"/>
    </xf>
    <xf numFmtId="3" fontId="25" fillId="9" borderId="16" xfId="0" applyNumberFormat="1" applyFont="1" applyFill="1" applyBorder="1" applyAlignment="1">
      <alignment horizontal="right" vertical="center"/>
    </xf>
    <xf numFmtId="0" fontId="0" fillId="14" borderId="16" xfId="0" applyFill="1" applyBorder="1"/>
    <xf numFmtId="0" fontId="0" fillId="14" borderId="16" xfId="0" applyFill="1" applyBorder="1" applyAlignment="1">
      <alignment horizontal="center"/>
    </xf>
    <xf numFmtId="0" fontId="0" fillId="9" borderId="19" xfId="0" applyFill="1" applyBorder="1"/>
    <xf numFmtId="0" fontId="32" fillId="13" borderId="19" xfId="0" applyFont="1" applyFill="1" applyBorder="1" applyAlignment="1" applyProtection="1">
      <alignment horizontal="center" vertical="top"/>
      <protection locked="0"/>
    </xf>
    <xf numFmtId="3" fontId="0" fillId="9" borderId="19" xfId="0" applyNumberFormat="1" applyFill="1" applyBorder="1" applyAlignment="1">
      <alignment horizontal="right" vertical="center"/>
    </xf>
    <xf numFmtId="0" fontId="25" fillId="14" borderId="16" xfId="0" applyFont="1" applyFill="1" applyBorder="1" applyAlignment="1">
      <alignment horizontal="center"/>
    </xf>
    <xf numFmtId="3" fontId="0" fillId="10" borderId="19" xfId="0" applyNumberFormat="1" applyFill="1" applyBorder="1" applyAlignment="1">
      <alignment horizontal="right" vertical="center"/>
    </xf>
    <xf numFmtId="3" fontId="25" fillId="10" borderId="16" xfId="0" applyNumberFormat="1" applyFont="1" applyFill="1" applyBorder="1" applyAlignment="1">
      <alignment horizontal="right"/>
    </xf>
    <xf numFmtId="0" fontId="25" fillId="0" borderId="1" xfId="0" applyFont="1" applyBorder="1" applyAlignment="1">
      <alignment horizontal="center" vertical="center"/>
    </xf>
    <xf numFmtId="17" fontId="25" fillId="0" borderId="1" xfId="0" applyNumberFormat="1" applyFont="1" applyBorder="1" applyAlignment="1">
      <alignment horizontal="center" vertical="center"/>
    </xf>
    <xf numFmtId="0" fontId="25" fillId="0" borderId="1" xfId="0" applyFont="1" applyBorder="1"/>
    <xf numFmtId="10" fontId="0" fillId="0" borderId="1" xfId="0" applyNumberFormat="1" applyBorder="1"/>
    <xf numFmtId="0" fontId="25" fillId="21" borderId="1" xfId="0" applyFont="1" applyFill="1" applyBorder="1"/>
    <xf numFmtId="10" fontId="0" fillId="21" borderId="1" xfId="0" applyNumberFormat="1" applyFill="1" applyBorder="1"/>
    <xf numFmtId="176" fontId="0" fillId="10" borderId="16" xfId="0" applyNumberFormat="1" applyFill="1" applyBorder="1" applyAlignment="1">
      <alignment horizontal="right" vertical="center"/>
    </xf>
    <xf numFmtId="0" fontId="87" fillId="22" borderId="0" xfId="0" applyFont="1" applyFill="1"/>
    <xf numFmtId="0" fontId="25" fillId="0" borderId="0" xfId="0" applyFont="1" applyAlignment="1">
      <alignment horizontal="left" indent="1"/>
    </xf>
    <xf numFmtId="174" fontId="35" fillId="9" borderId="16" xfId="0" applyNumberFormat="1" applyFont="1" applyFill="1" applyBorder="1" applyAlignment="1">
      <alignment horizontal="center" vertical="center"/>
    </xf>
    <xf numFmtId="164" fontId="35" fillId="9" borderId="16" xfId="6" applyFont="1" applyFill="1" applyBorder="1" applyAlignment="1" applyProtection="1">
      <alignment horizontal="center" vertical="center"/>
    </xf>
    <xf numFmtId="0" fontId="0" fillId="9" borderId="16" xfId="0" applyFill="1" applyBorder="1"/>
    <xf numFmtId="0" fontId="87" fillId="11" borderId="0" xfId="0" applyFont="1" applyFill="1"/>
    <xf numFmtId="177" fontId="0" fillId="0" borderId="0" xfId="0" applyNumberFormat="1"/>
    <xf numFmtId="0" fontId="23" fillId="0" borderId="0" xfId="0" applyFont="1"/>
    <xf numFmtId="176" fontId="0" fillId="10" borderId="19" xfId="0" applyNumberFormat="1" applyFill="1" applyBorder="1" applyAlignment="1">
      <alignment horizontal="right" vertical="center"/>
    </xf>
    <xf numFmtId="176" fontId="25" fillId="10" borderId="16" xfId="0" applyNumberFormat="1" applyFont="1" applyFill="1" applyBorder="1" applyAlignment="1">
      <alignment horizontal="right"/>
    </xf>
    <xf numFmtId="10" fontId="0" fillId="0" borderId="0" xfId="0" applyNumberFormat="1"/>
    <xf numFmtId="170" fontId="28" fillId="10" borderId="18" xfId="6" applyNumberFormat="1" applyFont="1" applyFill="1" applyBorder="1" applyAlignment="1" applyProtection="1">
      <alignment horizontal="center" vertical="center"/>
      <protection locked="0"/>
    </xf>
    <xf numFmtId="0" fontId="13" fillId="0" borderId="0" xfId="0" applyFont="1" applyAlignment="1" applyProtection="1">
      <alignment horizontal="left" vertical="top" wrapText="1"/>
      <protection locked="0"/>
    </xf>
    <xf numFmtId="170" fontId="28" fillId="10" borderId="16" xfId="6" applyNumberFormat="1" applyFont="1" applyFill="1" applyBorder="1" applyAlignment="1" applyProtection="1">
      <alignment horizontal="center" vertical="center"/>
      <protection locked="0"/>
    </xf>
    <xf numFmtId="170" fontId="35" fillId="10" borderId="16" xfId="6" applyNumberFormat="1" applyFont="1" applyFill="1" applyBorder="1" applyAlignment="1" applyProtection="1">
      <alignment horizontal="center" vertical="center"/>
      <protection locked="0"/>
    </xf>
    <xf numFmtId="10" fontId="28" fillId="10" borderId="18" xfId="4" applyNumberFormat="1" applyFont="1" applyFill="1" applyBorder="1" applyAlignment="1" applyProtection="1">
      <alignment horizontal="right" vertical="center"/>
      <protection locked="0"/>
    </xf>
    <xf numFmtId="178" fontId="28" fillId="10" borderId="16" xfId="6" applyNumberFormat="1" applyFont="1" applyFill="1" applyBorder="1" applyAlignment="1" applyProtection="1">
      <alignment horizontal="right" vertical="center"/>
      <protection locked="0"/>
    </xf>
    <xf numFmtId="10" fontId="28" fillId="10" borderId="19" xfId="4" applyNumberFormat="1" applyFont="1" applyFill="1" applyBorder="1" applyAlignment="1" applyProtection="1">
      <alignment horizontal="right" vertical="center"/>
      <protection locked="0"/>
    </xf>
    <xf numFmtId="0" fontId="25" fillId="0" borderId="0" xfId="0" applyFont="1" applyAlignment="1">
      <alignment wrapText="1"/>
    </xf>
    <xf numFmtId="0" fontId="27" fillId="23" borderId="0" xfId="0" applyFont="1" applyFill="1" applyProtection="1">
      <protection locked="0"/>
    </xf>
    <xf numFmtId="0" fontId="0" fillId="23" borderId="0" xfId="0" applyFill="1"/>
    <xf numFmtId="10" fontId="0" fillId="23" borderId="0" xfId="3" applyNumberFormat="1" applyFont="1" applyFill="1" applyAlignment="1">
      <alignment horizontal="right"/>
    </xf>
    <xf numFmtId="0" fontId="69" fillId="22" borderId="0" xfId="0" applyFont="1" applyFill="1"/>
    <xf numFmtId="0" fontId="66" fillId="23" borderId="0" xfId="0" applyFont="1" applyFill="1" applyAlignment="1" applyProtection="1">
      <alignment horizontal="left" vertical="top"/>
      <protection locked="0"/>
    </xf>
    <xf numFmtId="0" fontId="27" fillId="23" borderId="0" xfId="0" applyFont="1" applyFill="1"/>
    <xf numFmtId="0" fontId="25" fillId="14" borderId="19" xfId="0" applyFont="1" applyFill="1" applyBorder="1" applyAlignment="1">
      <alignment horizontal="center" vertical="center" wrapText="1"/>
    </xf>
    <xf numFmtId="3" fontId="88" fillId="9" borderId="16" xfId="0" applyNumberFormat="1" applyFont="1" applyFill="1" applyBorder="1" applyAlignment="1">
      <alignment horizontal="center" vertical="center"/>
    </xf>
    <xf numFmtId="3" fontId="89" fillId="9" borderId="16" xfId="0" applyNumberFormat="1" applyFont="1" applyFill="1" applyBorder="1" applyAlignment="1">
      <alignment horizontal="center" vertical="center"/>
    </xf>
    <xf numFmtId="2" fontId="0" fillId="0" borderId="0" xfId="0" applyNumberFormat="1"/>
    <xf numFmtId="10" fontId="39" fillId="10" borderId="18" xfId="0" applyNumberFormat="1" applyFont="1" applyFill="1" applyBorder="1" applyAlignment="1" applyProtection="1">
      <alignment horizontal="center" vertical="center"/>
      <protection locked="0"/>
    </xf>
    <xf numFmtId="0" fontId="0" fillId="14" borderId="18" xfId="0" applyFill="1" applyBorder="1" applyAlignment="1" applyProtection="1">
      <alignment horizontal="left" vertical="center" wrapText="1" indent="2"/>
      <protection locked="0"/>
    </xf>
    <xf numFmtId="0" fontId="0" fillId="14" borderId="17" xfId="0" applyFill="1" applyBorder="1" applyAlignment="1" applyProtection="1">
      <alignment horizontal="left" vertical="center" wrapText="1" indent="2"/>
      <protection locked="0"/>
    </xf>
    <xf numFmtId="2" fontId="0" fillId="10" borderId="16" xfId="0" applyNumberFormat="1" applyFill="1" applyBorder="1" applyAlignment="1" applyProtection="1">
      <alignment horizontal="center" vertical="center"/>
      <protection locked="0"/>
    </xf>
    <xf numFmtId="2" fontId="0" fillId="10" borderId="52" xfId="0" applyNumberFormat="1" applyFill="1" applyBorder="1" applyAlignment="1" applyProtection="1">
      <alignment horizontal="center" vertical="center"/>
      <protection locked="0"/>
    </xf>
    <xf numFmtId="4" fontId="0" fillId="9" borderId="52" xfId="0" applyNumberFormat="1" applyFill="1" applyBorder="1" applyAlignment="1" applyProtection="1">
      <alignment horizontal="center" vertical="top" wrapText="1"/>
      <protection locked="0"/>
    </xf>
    <xf numFmtId="4" fontId="0" fillId="0" borderId="0" xfId="0" applyNumberFormat="1" applyAlignment="1" applyProtection="1">
      <alignment horizontal="right" vertical="center"/>
      <protection locked="0"/>
    </xf>
    <xf numFmtId="10" fontId="0" fillId="0" borderId="0" xfId="0" applyNumberFormat="1" applyAlignment="1" applyProtection="1">
      <alignment horizontal="right" vertical="center"/>
      <protection locked="0"/>
    </xf>
    <xf numFmtId="10" fontId="0" fillId="0" borderId="0" xfId="9" applyNumberFormat="1" applyFont="1"/>
    <xf numFmtId="0" fontId="0" fillId="9" borderId="17" xfId="0" applyFill="1" applyBorder="1" applyAlignment="1" applyProtection="1">
      <alignment horizontal="left" vertical="top" wrapText="1"/>
      <protection locked="0"/>
    </xf>
    <xf numFmtId="0" fontId="0" fillId="0" borderId="18" xfId="0" applyBorder="1" applyAlignment="1" applyProtection="1">
      <alignment horizontal="left" vertical="center" wrapText="1"/>
      <protection locked="0"/>
    </xf>
    <xf numFmtId="14" fontId="0" fillId="0" borderId="18" xfId="0" applyNumberFormat="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0" borderId="18" xfId="0" applyBorder="1" applyAlignment="1" applyProtection="1">
      <alignment horizontal="left" vertical="top" wrapText="1"/>
      <protection locked="0"/>
    </xf>
    <xf numFmtId="49" fontId="94" fillId="0" borderId="18" xfId="0" applyNumberFormat="1" applyFont="1" applyBorder="1" applyAlignment="1" applyProtection="1">
      <alignment horizontal="left" vertical="center" wrapText="1"/>
      <protection locked="0"/>
    </xf>
    <xf numFmtId="49" fontId="0" fillId="0" borderId="18" xfId="0" applyNumberFormat="1" applyBorder="1" applyAlignment="1" applyProtection="1">
      <alignment horizontal="left" vertical="center" wrapText="1"/>
      <protection locked="0"/>
    </xf>
    <xf numFmtId="0" fontId="32" fillId="0" borderId="16" xfId="0" applyFont="1" applyBorder="1" applyAlignment="1" applyProtection="1">
      <alignment horizontal="center" vertical="top"/>
      <protection locked="0"/>
    </xf>
    <xf numFmtId="0" fontId="62" fillId="0" borderId="0" xfId="0" applyFont="1" applyAlignment="1" applyProtection="1">
      <alignment horizontal="left" vertical="top" wrapText="1"/>
      <protection locked="0"/>
    </xf>
    <xf numFmtId="0" fontId="62" fillId="0" borderId="21" xfId="0" applyFont="1" applyBorder="1" applyAlignment="1" applyProtection="1">
      <alignment horizontal="left" vertical="top" wrapText="1"/>
      <protection locked="0"/>
    </xf>
    <xf numFmtId="9" fontId="28" fillId="9" borderId="16" xfId="3" applyFont="1" applyFill="1" applyBorder="1" applyAlignment="1" applyProtection="1">
      <alignment horizontal="center" vertical="center"/>
      <protection locked="0"/>
    </xf>
    <xf numFmtId="3" fontId="28" fillId="9" borderId="16" xfId="10" applyNumberFormat="1" applyFont="1" applyFill="1" applyBorder="1" applyAlignment="1" applyProtection="1">
      <alignment horizontal="center" vertical="center"/>
      <protection locked="0"/>
    </xf>
    <xf numFmtId="3" fontId="35" fillId="9" borderId="16" xfId="10" applyNumberFormat="1" applyFont="1" applyFill="1" applyBorder="1" applyAlignment="1" applyProtection="1">
      <alignment horizontal="center" vertical="center"/>
      <protection locked="0"/>
    </xf>
    <xf numFmtId="1" fontId="0" fillId="0" borderId="0" xfId="0" applyNumberFormat="1" applyProtection="1">
      <protection locked="0"/>
    </xf>
    <xf numFmtId="1" fontId="0" fillId="0" borderId="14" xfId="0" applyNumberFormat="1" applyBorder="1" applyProtection="1">
      <protection locked="0"/>
    </xf>
    <xf numFmtId="0" fontId="93" fillId="9" borderId="18" xfId="0" applyFont="1" applyFill="1" applyBorder="1" applyAlignment="1" applyProtection="1">
      <alignment horizontal="center" vertical="center" wrapText="1"/>
      <protection locked="0"/>
    </xf>
    <xf numFmtId="0" fontId="32" fillId="9" borderId="18" xfId="0" applyFont="1" applyFill="1" applyBorder="1" applyAlignment="1" applyProtection="1">
      <alignment horizontal="center" vertical="top"/>
      <protection locked="0"/>
    </xf>
    <xf numFmtId="2" fontId="0" fillId="0" borderId="0" xfId="0" applyNumberFormat="1" applyProtection="1">
      <protection locked="0"/>
    </xf>
    <xf numFmtId="0" fontId="8" fillId="0" borderId="18" xfId="0" applyFont="1" applyBorder="1" applyAlignment="1" applyProtection="1">
      <alignment horizontal="center" vertical="center" wrapText="1"/>
      <protection locked="0"/>
    </xf>
    <xf numFmtId="0" fontId="49" fillId="23" borderId="0" xfId="0" applyFont="1" applyFill="1" applyProtection="1">
      <protection locked="0"/>
    </xf>
    <xf numFmtId="10" fontId="60" fillId="0" borderId="0" xfId="0" applyNumberFormat="1" applyFont="1" applyProtection="1">
      <protection locked="0"/>
    </xf>
    <xf numFmtId="0" fontId="25" fillId="14" borderId="18" xfId="0" applyFont="1" applyFill="1" applyBorder="1" applyAlignment="1" applyProtection="1">
      <alignment horizontal="center" vertical="center" wrapText="1"/>
      <protection locked="0"/>
    </xf>
    <xf numFmtId="0" fontId="0" fillId="13" borderId="18" xfId="0" applyFill="1" applyBorder="1" applyAlignment="1" applyProtection="1">
      <alignment horizontal="center" vertical="center"/>
      <protection locked="0"/>
    </xf>
    <xf numFmtId="1" fontId="0" fillId="13" borderId="18" xfId="0" applyNumberFormat="1" applyFill="1" applyBorder="1" applyAlignment="1" applyProtection="1">
      <alignment horizontal="center" vertical="center"/>
      <protection locked="0"/>
    </xf>
    <xf numFmtId="49" fontId="98" fillId="13" borderId="18" xfId="0" applyNumberFormat="1" applyFont="1" applyFill="1" applyBorder="1" applyAlignment="1" applyProtection="1">
      <alignment horizontal="left" vertical="top" wrapText="1"/>
      <protection locked="0"/>
    </xf>
    <xf numFmtId="49" fontId="98" fillId="13" borderId="18" xfId="0" applyNumberFormat="1" applyFont="1" applyFill="1" applyBorder="1" applyAlignment="1" applyProtection="1">
      <alignment horizontal="left" vertical="center" wrapText="1"/>
      <protection locked="0"/>
    </xf>
    <xf numFmtId="3" fontId="0" fillId="0" borderId="0" xfId="0" applyNumberFormat="1" applyAlignment="1" applyProtection="1">
      <alignment wrapText="1"/>
      <protection locked="0"/>
    </xf>
    <xf numFmtId="3" fontId="0" fillId="0" borderId="14" xfId="0" applyNumberFormat="1" applyBorder="1" applyAlignment="1" applyProtection="1">
      <alignment wrapText="1"/>
      <protection locked="0"/>
    </xf>
    <xf numFmtId="3" fontId="0" fillId="0" borderId="0" xfId="0" applyNumberFormat="1"/>
    <xf numFmtId="0" fontId="32" fillId="9" borderId="19" xfId="0" applyFont="1" applyFill="1" applyBorder="1" applyAlignment="1" applyProtection="1">
      <alignment horizontal="center" vertical="top"/>
      <protection locked="0"/>
    </xf>
    <xf numFmtId="0" fontId="0" fillId="26" borderId="17" xfId="0" applyFill="1" applyBorder="1" applyAlignment="1" applyProtection="1">
      <alignment horizontal="center" vertical="center" wrapText="1"/>
      <protection locked="0"/>
    </xf>
    <xf numFmtId="0" fontId="0" fillId="26" borderId="18" xfId="0" applyFill="1" applyBorder="1" applyAlignment="1" applyProtection="1">
      <alignment horizontal="center" vertical="center" wrapText="1"/>
      <protection locked="0"/>
    </xf>
    <xf numFmtId="0" fontId="95" fillId="13" borderId="18" xfId="0" applyFont="1" applyFill="1" applyBorder="1" applyAlignment="1" applyProtection="1">
      <alignment horizontal="left" vertical="top" wrapText="1"/>
      <protection locked="0"/>
    </xf>
    <xf numFmtId="0" fontId="0" fillId="9" borderId="0" xfId="0" applyFill="1" applyAlignment="1" applyProtection="1">
      <alignment horizontal="left" vertical="top" wrapText="1" indent="3"/>
      <protection locked="0"/>
    </xf>
    <xf numFmtId="0" fontId="0" fillId="9" borderId="0" xfId="0" applyFill="1" applyAlignment="1" applyProtection="1">
      <alignment horizontal="left" vertical="top" wrapText="1" indent="5"/>
      <protection locked="0"/>
    </xf>
    <xf numFmtId="0" fontId="39" fillId="9" borderId="0" xfId="0" applyFont="1" applyFill="1" applyAlignment="1" applyProtection="1">
      <alignment horizontal="left" vertical="top" wrapText="1" indent="3"/>
      <protection locked="0"/>
    </xf>
    <xf numFmtId="0" fontId="15" fillId="9" borderId="0" xfId="0" applyFont="1" applyFill="1" applyAlignment="1" applyProtection="1">
      <alignment vertical="top" wrapText="1"/>
      <protection locked="0"/>
    </xf>
    <xf numFmtId="0" fontId="0" fillId="9" borderId="18" xfId="0" applyFill="1" applyBorder="1" applyAlignment="1" applyProtection="1">
      <alignment wrapText="1"/>
      <protection locked="0"/>
    </xf>
    <xf numFmtId="0" fontId="0" fillId="9" borderId="18" xfId="0" applyFill="1" applyBorder="1" applyAlignment="1" applyProtection="1">
      <alignment horizontal="left" vertical="center" wrapText="1" indent="2"/>
      <protection locked="0"/>
    </xf>
    <xf numFmtId="49" fontId="32" fillId="13" borderId="18" xfId="0" applyNumberFormat="1" applyFont="1" applyFill="1" applyBorder="1" applyAlignment="1" applyProtection="1">
      <alignment horizontal="left" vertical="center" wrapText="1"/>
      <protection locked="0"/>
    </xf>
    <xf numFmtId="170" fontId="28" fillId="24" borderId="18" xfId="6" applyNumberFormat="1" applyFont="1" applyFill="1" applyBorder="1" applyAlignment="1" applyProtection="1">
      <alignment horizontal="center" vertical="center"/>
      <protection locked="0"/>
    </xf>
    <xf numFmtId="3" fontId="48" fillId="24" borderId="18" xfId="0" applyNumberFormat="1" applyFont="1" applyFill="1" applyBorder="1" applyAlignment="1" applyProtection="1">
      <alignment horizontal="center" vertical="top" wrapText="1"/>
      <protection locked="0"/>
    </xf>
    <xf numFmtId="3" fontId="0" fillId="24" borderId="16" xfId="0" applyNumberFormat="1" applyFill="1" applyBorder="1" applyAlignment="1">
      <alignment horizontal="right" vertical="center"/>
    </xf>
    <xf numFmtId="0" fontId="8" fillId="29" borderId="16" xfId="0" applyFont="1" applyFill="1" applyBorder="1" applyAlignment="1">
      <alignment horizontal="right" vertical="center" wrapText="1"/>
    </xf>
    <xf numFmtId="170" fontId="60" fillId="0" borderId="0" xfId="0" applyNumberFormat="1" applyFont="1" applyProtection="1">
      <protection locked="0"/>
    </xf>
    <xf numFmtId="180" fontId="77" fillId="0" borderId="14" xfId="4" applyNumberFormat="1" applyFont="1" applyFill="1" applyBorder="1" applyAlignment="1" applyProtection="1">
      <alignment vertical="center"/>
      <protection locked="0"/>
    </xf>
    <xf numFmtId="181" fontId="0" fillId="0" borderId="18" xfId="0" applyNumberFormat="1" applyBorder="1" applyAlignment="1" applyProtection="1">
      <alignment horizontal="left" vertical="center" wrapText="1"/>
      <protection locked="0"/>
    </xf>
    <xf numFmtId="0" fontId="37" fillId="30" borderId="64" xfId="11" applyProtection="1">
      <protection locked="0"/>
    </xf>
    <xf numFmtId="164" fontId="35" fillId="9" borderId="18" xfId="6" applyFont="1" applyFill="1" applyBorder="1" applyAlignment="1" applyProtection="1">
      <alignment vertical="center"/>
    </xf>
    <xf numFmtId="0" fontId="32" fillId="13" borderId="18" xfId="0" applyFont="1" applyFill="1" applyBorder="1" applyAlignment="1" applyProtection="1">
      <alignment horizontal="left" vertical="center" wrapText="1"/>
      <protection locked="0"/>
    </xf>
    <xf numFmtId="0" fontId="95" fillId="13" borderId="18" xfId="0" applyFont="1" applyFill="1" applyBorder="1" applyAlignment="1" applyProtection="1">
      <alignment horizontal="left" vertical="center" wrapText="1"/>
      <protection locked="0"/>
    </xf>
    <xf numFmtId="49" fontId="4" fillId="13" borderId="18" xfId="0" applyNumberFormat="1" applyFont="1" applyFill="1" applyBorder="1" applyAlignment="1" applyProtection="1">
      <alignment horizontal="left" vertical="top" wrapText="1"/>
      <protection locked="0"/>
    </xf>
    <xf numFmtId="2" fontId="91" fillId="0" borderId="18" xfId="0" applyNumberFormat="1" applyFont="1" applyBorder="1" applyAlignment="1" applyProtection="1">
      <alignment horizontal="center" vertical="center" wrapText="1"/>
      <protection locked="0"/>
    </xf>
    <xf numFmtId="49" fontId="7" fillId="0" borderId="18" xfId="0" applyNumberFormat="1" applyFont="1" applyBorder="1" applyAlignment="1" applyProtection="1">
      <alignment horizontal="left" vertical="center" wrapText="1"/>
      <protection locked="0"/>
    </xf>
    <xf numFmtId="165" fontId="0" fillId="0" borderId="0" xfId="0" quotePrefix="1" applyNumberFormat="1" applyAlignment="1" applyProtection="1">
      <alignment wrapText="1"/>
      <protection locked="0"/>
    </xf>
    <xf numFmtId="1" fontId="0" fillId="0" borderId="0" xfId="0" quotePrefix="1" applyNumberFormat="1" applyAlignment="1" applyProtection="1">
      <alignment wrapText="1"/>
      <protection locked="0"/>
    </xf>
    <xf numFmtId="0" fontId="100" fillId="24" borderId="18" xfId="0" applyFont="1" applyFill="1" applyBorder="1" applyAlignment="1" applyProtection="1">
      <alignment vertical="center" wrapText="1"/>
      <protection locked="0"/>
    </xf>
    <xf numFmtId="0" fontId="0" fillId="24" borderId="18" xfId="0" applyFill="1" applyBorder="1" applyAlignment="1" applyProtection="1">
      <alignment vertical="center" wrapText="1"/>
      <protection locked="0"/>
    </xf>
    <xf numFmtId="0" fontId="0" fillId="0" borderId="18" xfId="0" applyBorder="1" applyAlignment="1" applyProtection="1">
      <alignment vertical="center" wrapText="1"/>
      <protection locked="0"/>
    </xf>
    <xf numFmtId="0" fontId="6" fillId="0" borderId="18" xfId="0" applyFont="1" applyBorder="1" applyAlignment="1" applyProtection="1">
      <alignment vertical="center" wrapText="1"/>
      <protection locked="0"/>
    </xf>
    <xf numFmtId="0" fontId="91" fillId="13" borderId="18" xfId="0" applyFont="1" applyFill="1" applyBorder="1" applyAlignment="1" applyProtection="1">
      <alignment horizontal="center" vertical="center" wrapText="1"/>
      <protection locked="0"/>
    </xf>
    <xf numFmtId="49" fontId="104" fillId="9" borderId="18" xfId="0" applyNumberFormat="1" applyFont="1" applyFill="1" applyBorder="1" applyAlignment="1" applyProtection="1">
      <alignment horizontal="center" vertical="top" wrapText="1"/>
      <protection locked="0"/>
    </xf>
    <xf numFmtId="0" fontId="99" fillId="14" borderId="18" xfId="0" applyFont="1" applyFill="1" applyBorder="1" applyAlignment="1" applyProtection="1">
      <alignment horizontal="center" vertical="center" wrapText="1"/>
      <protection locked="0"/>
    </xf>
    <xf numFmtId="0" fontId="39" fillId="26" borderId="18" xfId="0" applyFont="1" applyFill="1" applyBorder="1" applyAlignment="1" applyProtection="1">
      <alignment horizontal="center" vertical="center" wrapText="1"/>
      <protection locked="0"/>
    </xf>
    <xf numFmtId="3" fontId="88" fillId="24" borderId="18" xfId="0" applyNumberFormat="1" applyFont="1" applyFill="1" applyBorder="1" applyAlignment="1" applyProtection="1">
      <alignment horizontal="center" vertical="top" wrapText="1"/>
      <protection locked="0"/>
    </xf>
    <xf numFmtId="1" fontId="0" fillId="24" borderId="1" xfId="0" applyNumberFormat="1" applyFill="1" applyBorder="1" applyAlignment="1" applyProtection="1">
      <alignment horizontal="center" vertical="center"/>
      <protection locked="0"/>
    </xf>
    <xf numFmtId="3" fontId="28" fillId="31" borderId="16" xfId="0" applyNumberFormat="1" applyFont="1" applyFill="1" applyBorder="1" applyAlignment="1">
      <alignment vertical="center"/>
    </xf>
    <xf numFmtId="3" fontId="0" fillId="31" borderId="18" xfId="0" applyNumberFormat="1" applyFill="1" applyBorder="1" applyAlignment="1">
      <alignment vertical="center"/>
    </xf>
    <xf numFmtId="3" fontId="35" fillId="31" borderId="16" xfId="0" applyNumberFormat="1" applyFont="1" applyFill="1" applyBorder="1" applyAlignment="1">
      <alignment vertical="center"/>
    </xf>
    <xf numFmtId="3" fontId="25" fillId="31" borderId="18" xfId="0" applyNumberFormat="1" applyFont="1" applyFill="1" applyBorder="1" applyAlignment="1">
      <alignment vertical="center"/>
    </xf>
    <xf numFmtId="0" fontId="8" fillId="29" borderId="18" xfId="0" applyFont="1" applyFill="1" applyBorder="1" applyAlignment="1">
      <alignment vertical="center" wrapText="1"/>
    </xf>
    <xf numFmtId="165" fontId="0" fillId="31" borderId="18" xfId="0" applyNumberFormat="1" applyFill="1" applyBorder="1" applyAlignment="1">
      <alignment vertical="center"/>
    </xf>
    <xf numFmtId="4" fontId="25" fillId="31" borderId="18" xfId="0" applyNumberFormat="1" applyFont="1" applyFill="1" applyBorder="1" applyAlignment="1">
      <alignment vertical="center"/>
    </xf>
    <xf numFmtId="3" fontId="106" fillId="0" borderId="0" xfId="2" applyNumberFormat="1" applyFont="1" applyAlignment="1" applyProtection="1">
      <protection locked="0"/>
    </xf>
    <xf numFmtId="179" fontId="45" fillId="0" borderId="0" xfId="4" applyNumberFormat="1" applyFont="1" applyFill="1" applyBorder="1" applyAlignment="1" applyProtection="1">
      <alignment vertical="center"/>
      <protection locked="0"/>
    </xf>
    <xf numFmtId="0" fontId="107" fillId="0" borderId="0" xfId="0" applyFont="1" applyProtection="1">
      <protection locked="0"/>
    </xf>
    <xf numFmtId="0" fontId="108" fillId="0" borderId="0" xfId="0" applyFont="1" applyProtection="1">
      <protection locked="0"/>
    </xf>
    <xf numFmtId="0" fontId="109" fillId="0" borderId="0" xfId="0" applyFont="1" applyProtection="1">
      <protection locked="0"/>
    </xf>
    <xf numFmtId="0" fontId="107" fillId="13" borderId="0" xfId="0" applyFont="1" applyFill="1" applyAlignment="1" applyProtection="1">
      <alignment horizontal="left" vertical="top" wrapText="1"/>
      <protection locked="0"/>
    </xf>
    <xf numFmtId="0" fontId="107" fillId="13" borderId="0" xfId="0" applyFont="1" applyFill="1" applyProtection="1">
      <protection locked="0"/>
    </xf>
    <xf numFmtId="0" fontId="107" fillId="0" borderId="0" xfId="0" applyFont="1" applyAlignment="1" applyProtection="1">
      <alignment horizontal="left" vertical="top" wrapText="1"/>
      <protection locked="0"/>
    </xf>
    <xf numFmtId="43" fontId="107" fillId="0" borderId="0" xfId="0" applyNumberFormat="1" applyFont="1" applyAlignment="1" applyProtection="1">
      <alignment horizontal="left" vertical="top" wrapText="1"/>
      <protection locked="0"/>
    </xf>
    <xf numFmtId="10" fontId="28" fillId="9" borderId="16" xfId="3" applyNumberFormat="1" applyFont="1" applyFill="1" applyBorder="1" applyAlignment="1" applyProtection="1">
      <alignment horizontal="center" vertical="center"/>
      <protection locked="0"/>
    </xf>
    <xf numFmtId="0" fontId="15" fillId="5" borderId="18" xfId="0" applyFont="1" applyFill="1" applyBorder="1" applyAlignment="1">
      <alignment horizontal="right" vertical="center" wrapText="1"/>
    </xf>
    <xf numFmtId="0" fontId="111" fillId="0" borderId="0" xfId="0" applyFont="1" applyAlignment="1" applyProtection="1">
      <alignment horizontal="center" wrapText="1"/>
      <protection locked="0"/>
    </xf>
    <xf numFmtId="165" fontId="28" fillId="31" borderId="18" xfId="0" applyNumberFormat="1" applyFont="1" applyFill="1" applyBorder="1" applyAlignment="1">
      <alignment horizontal="right" vertical="center"/>
    </xf>
    <xf numFmtId="3" fontId="28" fillId="24" borderId="16" xfId="6" applyNumberFormat="1" applyFont="1" applyFill="1" applyBorder="1" applyAlignment="1" applyProtection="1">
      <alignment horizontal="center" vertical="center"/>
      <protection locked="0"/>
    </xf>
    <xf numFmtId="0" fontId="15" fillId="32" borderId="16" xfId="0" applyFont="1" applyFill="1" applyBorder="1" applyAlignment="1">
      <alignment horizontal="right" vertical="center" wrapText="1"/>
    </xf>
    <xf numFmtId="0" fontId="15" fillId="5" borderId="16" xfId="0" applyFont="1" applyFill="1" applyBorder="1" applyAlignment="1">
      <alignment horizontal="right" vertical="center" wrapText="1"/>
    </xf>
    <xf numFmtId="49" fontId="32" fillId="9" borderId="18" xfId="0" applyNumberFormat="1" applyFont="1" applyFill="1" applyBorder="1" applyAlignment="1" applyProtection="1">
      <alignment horizontal="left" vertical="center" wrapText="1"/>
      <protection locked="0"/>
    </xf>
    <xf numFmtId="0" fontId="0" fillId="9" borderId="18" xfId="0" applyFill="1" applyBorder="1" applyAlignment="1" applyProtection="1">
      <alignment horizontal="left" vertical="top" wrapText="1"/>
      <protection locked="0"/>
    </xf>
    <xf numFmtId="170" fontId="77" fillId="0" borderId="14" xfId="4" applyNumberFormat="1" applyFont="1" applyFill="1" applyBorder="1" applyAlignment="1" applyProtection="1">
      <alignment vertical="center"/>
      <protection locked="0"/>
    </xf>
    <xf numFmtId="0" fontId="114" fillId="0" borderId="0" xfId="2" applyFont="1" applyAlignment="1" applyProtection="1">
      <protection locked="0"/>
    </xf>
    <xf numFmtId="170" fontId="115" fillId="0" borderId="0" xfId="2" applyNumberFormat="1" applyFont="1" applyAlignment="1" applyProtection="1">
      <alignment horizontal="left" vertical="center"/>
      <protection locked="0"/>
    </xf>
    <xf numFmtId="9" fontId="60" fillId="0" borderId="0" xfId="3" applyFont="1" applyProtection="1">
      <protection locked="0"/>
    </xf>
    <xf numFmtId="1" fontId="45" fillId="0" borderId="0" xfId="4" applyNumberFormat="1" applyFont="1" applyFill="1" applyBorder="1" applyAlignment="1" applyProtection="1">
      <alignment vertical="center"/>
      <protection locked="0"/>
    </xf>
    <xf numFmtId="1" fontId="45" fillId="0" borderId="22" xfId="4" applyNumberFormat="1" applyFont="1" applyFill="1" applyBorder="1" applyAlignment="1" applyProtection="1">
      <alignment vertical="center"/>
      <protection locked="0"/>
    </xf>
    <xf numFmtId="1" fontId="45" fillId="0" borderId="14" xfId="4" applyNumberFormat="1" applyFont="1" applyFill="1" applyBorder="1" applyAlignment="1" applyProtection="1">
      <alignment vertical="center"/>
      <protection locked="0"/>
    </xf>
    <xf numFmtId="1" fontId="77" fillId="0" borderId="21" xfId="4" applyNumberFormat="1" applyFont="1" applyFill="1" applyBorder="1" applyAlignment="1" applyProtection="1">
      <alignment vertical="center"/>
      <protection locked="0"/>
    </xf>
    <xf numFmtId="1" fontId="77" fillId="0" borderId="0" xfId="4" applyNumberFormat="1" applyFont="1" applyFill="1" applyBorder="1" applyAlignment="1" applyProtection="1">
      <alignment vertical="center"/>
      <protection locked="0"/>
    </xf>
    <xf numFmtId="1" fontId="25" fillId="0" borderId="0" xfId="0" applyNumberFormat="1" applyFont="1"/>
    <xf numFmtId="1" fontId="77" fillId="0" borderId="14" xfId="4" applyNumberFormat="1" applyFont="1" applyFill="1" applyBorder="1" applyAlignment="1" applyProtection="1">
      <alignment vertical="center"/>
      <protection locked="0"/>
    </xf>
    <xf numFmtId="1" fontId="71" fillId="0" borderId="0" xfId="2" applyNumberFormat="1" applyFont="1" applyBorder="1" applyAlignment="1" applyProtection="1">
      <protection locked="0"/>
    </xf>
    <xf numFmtId="1" fontId="0" fillId="14" borderId="18" xfId="0" applyNumberFormat="1" applyFill="1" applyBorder="1" applyAlignment="1" applyProtection="1">
      <alignment horizontal="center" vertical="center" wrapText="1"/>
      <protection locked="0"/>
    </xf>
    <xf numFmtId="1" fontId="28" fillId="24" borderId="18" xfId="6" applyNumberFormat="1" applyFont="1" applyFill="1" applyBorder="1" applyAlignment="1" applyProtection="1">
      <alignment horizontal="center" vertical="center"/>
      <protection locked="0"/>
    </xf>
    <xf numFmtId="1" fontId="28" fillId="9" borderId="18" xfId="6" applyNumberFormat="1" applyFont="1" applyFill="1" applyBorder="1" applyAlignment="1" applyProtection="1">
      <alignment horizontal="center" vertical="center"/>
      <protection locked="0"/>
    </xf>
    <xf numFmtId="1" fontId="58" fillId="0" borderId="14" xfId="0" applyNumberFormat="1" applyFont="1" applyBorder="1" applyAlignment="1">
      <alignment horizontal="center" vertical="center" wrapText="1"/>
    </xf>
    <xf numFmtId="1" fontId="28" fillId="10" borderId="18" xfId="6" applyNumberFormat="1" applyFont="1" applyFill="1" applyBorder="1" applyAlignment="1" applyProtection="1">
      <alignment horizontal="center" vertical="center"/>
      <protection locked="0"/>
    </xf>
    <xf numFmtId="11" fontId="7" fillId="9" borderId="0" xfId="0" applyNumberFormat="1" applyFont="1" applyFill="1" applyProtection="1">
      <protection locked="0"/>
    </xf>
    <xf numFmtId="14" fontId="0" fillId="9" borderId="0" xfId="0" applyNumberFormat="1" applyFill="1" applyProtection="1">
      <protection locked="0"/>
    </xf>
    <xf numFmtId="11" fontId="47" fillId="17" borderId="41" xfId="0" applyNumberFormat="1" applyFont="1" applyFill="1" applyBorder="1" applyAlignment="1" applyProtection="1">
      <alignment horizontal="left" vertical="center"/>
      <protection locked="0"/>
    </xf>
    <xf numFmtId="11" fontId="47" fillId="17" borderId="41" xfId="0" applyNumberFormat="1" applyFont="1" applyFill="1" applyBorder="1" applyAlignment="1" applyProtection="1">
      <alignment vertical="center"/>
      <protection locked="0"/>
    </xf>
    <xf numFmtId="3" fontId="28" fillId="9" borderId="18" xfId="0" applyNumberFormat="1" applyFont="1" applyFill="1" applyBorder="1" applyAlignment="1" applyProtection="1">
      <alignment horizontal="right" vertical="center" wrapText="1"/>
      <protection locked="0"/>
    </xf>
    <xf numFmtId="3" fontId="28" fillId="9" borderId="16" xfId="0" applyNumberFormat="1" applyFont="1" applyFill="1" applyBorder="1" applyAlignment="1" applyProtection="1">
      <alignment horizontal="center" vertical="center" wrapText="1"/>
      <protection locked="0"/>
    </xf>
    <xf numFmtId="0" fontId="62" fillId="32" borderId="18" xfId="0" applyFont="1" applyFill="1" applyBorder="1" applyAlignment="1" applyProtection="1">
      <alignment horizontal="right" vertical="center" wrapText="1"/>
      <protection locked="0"/>
    </xf>
    <xf numFmtId="1" fontId="0" fillId="9" borderId="18" xfId="0" applyNumberFormat="1" applyFill="1" applyBorder="1" applyAlignment="1" applyProtection="1">
      <alignment horizontal="center" vertical="center"/>
      <protection locked="0"/>
    </xf>
    <xf numFmtId="182" fontId="113" fillId="9" borderId="18" xfId="6" applyNumberFormat="1" applyFont="1" applyFill="1" applyBorder="1" applyAlignment="1" applyProtection="1">
      <alignment horizontal="center" vertical="center"/>
      <protection locked="0"/>
    </xf>
    <xf numFmtId="3" fontId="0" fillId="9" borderId="16" xfId="0" applyNumberFormat="1" applyFill="1" applyBorder="1" applyAlignment="1" applyProtection="1">
      <alignment horizontal="center" vertical="center" wrapText="1"/>
      <protection locked="0"/>
    </xf>
    <xf numFmtId="3" fontId="0" fillId="9" borderId="18" xfId="0" applyNumberFormat="1" applyFill="1" applyBorder="1" applyAlignment="1" applyProtection="1">
      <alignment horizontal="center" vertical="center" wrapText="1"/>
      <protection locked="0"/>
    </xf>
    <xf numFmtId="3" fontId="79" fillId="9" borderId="18" xfId="2" applyNumberFormat="1" applyFill="1" applyBorder="1" applyAlignment="1" applyProtection="1">
      <alignment horizontal="right" vertical="center" wrapText="1"/>
      <protection locked="0"/>
    </xf>
    <xf numFmtId="3" fontId="101" fillId="9" borderId="18" xfId="0" applyNumberFormat="1" applyFont="1" applyFill="1" applyBorder="1" applyAlignment="1" applyProtection="1">
      <alignment horizontal="left" vertical="center" wrapText="1"/>
      <protection locked="0"/>
    </xf>
    <xf numFmtId="0" fontId="58" fillId="32" borderId="18" xfId="0" applyFont="1" applyFill="1" applyBorder="1" applyAlignment="1" applyProtection="1">
      <alignment horizontal="right" vertical="center" wrapText="1"/>
      <protection locked="0"/>
    </xf>
    <xf numFmtId="0" fontId="0" fillId="26" borderId="18" xfId="0" applyFill="1" applyBorder="1" applyAlignment="1" applyProtection="1">
      <alignment vertical="center" wrapText="1"/>
      <protection locked="0"/>
    </xf>
    <xf numFmtId="0" fontId="8" fillId="32" borderId="18" xfId="0" applyFont="1" applyFill="1" applyBorder="1" applyAlignment="1" applyProtection="1">
      <alignment horizontal="right" vertical="center" wrapText="1"/>
      <protection locked="0"/>
    </xf>
    <xf numFmtId="0" fontId="15" fillId="32" borderId="18" xfId="0" applyFont="1" applyFill="1" applyBorder="1" applyAlignment="1" applyProtection="1">
      <alignment horizontal="right" vertical="center" wrapText="1"/>
      <protection locked="0"/>
    </xf>
    <xf numFmtId="49" fontId="97" fillId="31" borderId="18" xfId="0" applyNumberFormat="1" applyFont="1" applyFill="1" applyBorder="1" applyAlignment="1" applyProtection="1">
      <alignment horizontal="center" vertical="top" wrapText="1"/>
      <protection locked="0"/>
    </xf>
    <xf numFmtId="49" fontId="105" fillId="31" borderId="18" xfId="0" applyNumberFormat="1" applyFont="1" applyFill="1" applyBorder="1" applyAlignment="1" applyProtection="1">
      <alignment horizontal="center" vertical="top" wrapText="1"/>
      <protection locked="0"/>
    </xf>
    <xf numFmtId="182" fontId="0" fillId="0" borderId="0" xfId="0" applyNumberFormat="1" applyProtection="1">
      <protection locked="0"/>
    </xf>
    <xf numFmtId="182" fontId="113" fillId="24" borderId="18" xfId="6" applyNumberFormat="1" applyFont="1" applyFill="1" applyBorder="1" applyAlignment="1" applyProtection="1">
      <alignment horizontal="center" vertical="center"/>
      <protection locked="0"/>
    </xf>
    <xf numFmtId="0" fontId="0" fillId="13" borderId="18" xfId="0" applyFill="1" applyBorder="1" applyAlignment="1" applyProtection="1">
      <alignment horizontal="left" vertical="top" wrapText="1"/>
      <protection locked="0"/>
    </xf>
    <xf numFmtId="0" fontId="0" fillId="13" borderId="16" xfId="0" applyFill="1" applyBorder="1" applyAlignment="1" applyProtection="1">
      <alignment horizontal="center" vertical="top"/>
      <protection locked="0"/>
    </xf>
    <xf numFmtId="0" fontId="92" fillId="0" borderId="0" xfId="0" applyFont="1"/>
    <xf numFmtId="11" fontId="122" fillId="9" borderId="0" xfId="0" applyNumberFormat="1" applyFont="1" applyFill="1" applyAlignment="1" applyProtection="1">
      <alignment horizontal="left" vertical="center"/>
      <protection locked="0"/>
    </xf>
    <xf numFmtId="0" fontId="121" fillId="9" borderId="0" xfId="0" applyFont="1" applyFill="1" applyAlignment="1" applyProtection="1">
      <alignment horizontal="left" vertical="top" wrapText="1"/>
      <protection locked="0"/>
    </xf>
    <xf numFmtId="0" fontId="0" fillId="0" borderId="18" xfId="0" applyBorder="1" applyAlignment="1" applyProtection="1">
      <alignment horizontal="left" vertical="top" wrapText="1"/>
      <protection locked="0"/>
    </xf>
    <xf numFmtId="0" fontId="0" fillId="0" borderId="19" xfId="0" applyBorder="1" applyAlignment="1" applyProtection="1">
      <alignment horizontal="left" vertical="top" wrapText="1"/>
      <protection locked="0"/>
    </xf>
    <xf numFmtId="49" fontId="8" fillId="9" borderId="18" xfId="0" applyNumberFormat="1" applyFont="1" applyFill="1" applyBorder="1" applyAlignment="1" applyProtection="1">
      <alignment horizontal="left" vertical="top" wrapText="1"/>
      <protection locked="0"/>
    </xf>
    <xf numFmtId="49" fontId="8" fillId="9" borderId="19" xfId="0" applyNumberFormat="1" applyFont="1" applyFill="1" applyBorder="1" applyAlignment="1" applyProtection="1">
      <alignment horizontal="left" vertical="top" wrapText="1"/>
      <protection locked="0"/>
    </xf>
    <xf numFmtId="0" fontId="10" fillId="14" borderId="18" xfId="0" applyFont="1" applyFill="1" applyBorder="1" applyAlignment="1" applyProtection="1">
      <alignment horizontal="left" vertical="center" wrapText="1"/>
      <protection locked="0"/>
    </xf>
    <xf numFmtId="0" fontId="10" fillId="14" borderId="19" xfId="0" applyFont="1" applyFill="1" applyBorder="1" applyAlignment="1" applyProtection="1">
      <alignment horizontal="left" vertical="center" wrapText="1"/>
      <protection locked="0"/>
    </xf>
    <xf numFmtId="0" fontId="40" fillId="0" borderId="0" xfId="1" applyFont="1" applyFill="1" applyBorder="1" applyAlignment="1" applyProtection="1">
      <alignment horizontal="center" vertical="top" wrapText="1"/>
      <protection locked="0"/>
    </xf>
    <xf numFmtId="0" fontId="10" fillId="14" borderId="18" xfId="0" applyFont="1" applyFill="1" applyBorder="1" applyAlignment="1" applyProtection="1">
      <alignment horizontal="center" vertical="center" wrapText="1"/>
      <protection locked="0"/>
    </xf>
    <xf numFmtId="0" fontId="10" fillId="14" borderId="19" xfId="0" applyFont="1" applyFill="1" applyBorder="1" applyAlignment="1" applyProtection="1">
      <alignment horizontal="center" vertical="center" wrapText="1"/>
      <protection locked="0"/>
    </xf>
    <xf numFmtId="49" fontId="8" fillId="13" borderId="18" xfId="0" applyNumberFormat="1" applyFont="1" applyFill="1" applyBorder="1" applyAlignment="1" applyProtection="1">
      <alignment horizontal="center" vertical="top" wrapText="1"/>
      <protection locked="0"/>
    </xf>
    <xf numFmtId="49" fontId="8" fillId="13" borderId="19" xfId="0" applyNumberFormat="1" applyFont="1" applyFill="1" applyBorder="1" applyAlignment="1" applyProtection="1">
      <alignment horizontal="center" vertical="top" wrapText="1"/>
      <protection locked="0"/>
    </xf>
    <xf numFmtId="14" fontId="8" fillId="0" borderId="18" xfId="0" applyNumberFormat="1" applyFont="1" applyBorder="1" applyAlignment="1" applyProtection="1">
      <alignment horizontal="center" vertical="center" wrapText="1"/>
      <protection locked="0"/>
    </xf>
    <xf numFmtId="14" fontId="8" fillId="0" borderId="19" xfId="0" applyNumberFormat="1" applyFont="1" applyBorder="1" applyAlignment="1" applyProtection="1">
      <alignment horizontal="center" vertical="center" wrapText="1"/>
      <protection locked="0"/>
    </xf>
    <xf numFmtId="0" fontId="8" fillId="14" borderId="18" xfId="0" applyFont="1" applyFill="1" applyBorder="1" applyAlignment="1" applyProtection="1">
      <alignment horizontal="left" vertical="center" wrapText="1"/>
      <protection locked="0"/>
    </xf>
    <xf numFmtId="0" fontId="8" fillId="14" borderId="19" xfId="0" applyFont="1" applyFill="1" applyBorder="1" applyAlignment="1" applyProtection="1">
      <alignment horizontal="left" vertical="center" wrapText="1"/>
      <protection locked="0"/>
    </xf>
    <xf numFmtId="0" fontId="0" fillId="9" borderId="18" xfId="0" applyFill="1" applyBorder="1" applyAlignment="1" applyProtection="1">
      <alignment horizontal="left" vertical="top"/>
      <protection locked="0"/>
    </xf>
    <xf numFmtId="0" fontId="0" fillId="0" borderId="14" xfId="0" applyBorder="1" applyAlignment="1">
      <alignment horizontal="left" vertical="top"/>
    </xf>
    <xf numFmtId="0" fontId="0" fillId="9" borderId="17" xfId="0" applyFill="1" applyBorder="1" applyAlignment="1" applyProtection="1">
      <alignment horizontal="left" vertical="top" wrapText="1"/>
      <protection locked="0"/>
    </xf>
    <xf numFmtId="0" fontId="0" fillId="9" borderId="15" xfId="0" applyFill="1" applyBorder="1" applyAlignment="1" applyProtection="1">
      <alignment horizontal="left" vertical="top" wrapText="1"/>
      <protection locked="0"/>
    </xf>
    <xf numFmtId="0" fontId="91" fillId="14" borderId="18" xfId="0" applyFont="1" applyFill="1" applyBorder="1" applyAlignment="1" applyProtection="1">
      <alignment horizontal="left" vertical="top" wrapText="1"/>
      <protection locked="0"/>
    </xf>
    <xf numFmtId="0" fontId="91" fillId="14" borderId="14" xfId="0" applyFont="1" applyFill="1" applyBorder="1" applyAlignment="1" applyProtection="1">
      <alignment horizontal="left" vertical="top" wrapText="1"/>
      <protection locked="0"/>
    </xf>
    <xf numFmtId="0" fontId="43" fillId="0" borderId="0" xfId="4" applyFont="1" applyFill="1" applyBorder="1" applyAlignment="1" applyProtection="1">
      <alignment horizontal="left" vertical="center" wrapText="1"/>
      <protection locked="0"/>
    </xf>
    <xf numFmtId="49" fontId="32" fillId="9" borderId="18" xfId="0" applyNumberFormat="1" applyFont="1" applyFill="1" applyBorder="1" applyAlignment="1" applyProtection="1">
      <alignment horizontal="left" vertical="top" wrapText="1"/>
      <protection locked="0"/>
    </xf>
    <xf numFmtId="49" fontId="32" fillId="9" borderId="14" xfId="0" applyNumberFormat="1" applyFont="1" applyFill="1" applyBorder="1" applyAlignment="1" applyProtection="1">
      <alignment horizontal="left" vertical="top" wrapText="1"/>
      <protection locked="0"/>
    </xf>
    <xf numFmtId="0" fontId="0" fillId="14" borderId="18" xfId="0" applyFill="1" applyBorder="1" applyAlignment="1" applyProtection="1">
      <alignment horizontal="left" vertical="top"/>
      <protection locked="0"/>
    </xf>
    <xf numFmtId="0" fontId="0" fillId="14" borderId="14" xfId="0" applyFill="1" applyBorder="1" applyAlignment="1" applyProtection="1">
      <alignment horizontal="left" vertical="top"/>
      <protection locked="0"/>
    </xf>
    <xf numFmtId="49" fontId="94" fillId="0" borderId="17" xfId="0" applyNumberFormat="1" applyFont="1" applyBorder="1" applyAlignment="1" applyProtection="1">
      <alignment horizontal="left" vertical="center" wrapText="1"/>
      <protection locked="0"/>
    </xf>
    <xf numFmtId="49" fontId="94" fillId="0" borderId="20" xfId="0" applyNumberFormat="1" applyFont="1" applyBorder="1" applyAlignment="1" applyProtection="1">
      <alignment horizontal="left" vertical="center" wrapText="1"/>
      <protection locked="0"/>
    </xf>
    <xf numFmtId="49" fontId="94" fillId="0" borderId="18" xfId="0" applyNumberFormat="1" applyFont="1" applyBorder="1" applyAlignment="1" applyProtection="1">
      <alignment horizontal="left" vertical="center" wrapText="1"/>
      <protection locked="0"/>
    </xf>
    <xf numFmtId="49" fontId="94" fillId="0" borderId="14" xfId="0" applyNumberFormat="1" applyFont="1" applyBorder="1" applyAlignment="1" applyProtection="1">
      <alignment horizontal="left" vertical="center" wrapText="1"/>
      <protection locked="0"/>
    </xf>
    <xf numFmtId="0" fontId="0" fillId="14" borderId="18" xfId="0" applyFill="1" applyBorder="1" applyAlignment="1" applyProtection="1">
      <alignment horizontal="left" vertical="center"/>
      <protection locked="0"/>
    </xf>
    <xf numFmtId="0" fontId="0" fillId="9" borderId="17" xfId="0" applyFill="1" applyBorder="1" applyAlignment="1" applyProtection="1">
      <alignment horizontal="left" vertical="top"/>
      <protection locked="0"/>
    </xf>
    <xf numFmtId="0" fontId="0" fillId="9" borderId="15" xfId="0" applyFill="1" applyBorder="1" applyAlignment="1" applyProtection="1">
      <alignment horizontal="left" vertical="top"/>
      <protection locked="0"/>
    </xf>
    <xf numFmtId="0" fontId="0" fillId="9" borderId="20" xfId="0" applyFill="1" applyBorder="1" applyAlignment="1" applyProtection="1">
      <alignment horizontal="left" vertical="top"/>
      <protection locked="0"/>
    </xf>
    <xf numFmtId="0" fontId="0" fillId="9" borderId="14" xfId="0" applyFill="1" applyBorder="1" applyAlignment="1" applyProtection="1">
      <alignment horizontal="left" vertical="top"/>
      <protection locked="0"/>
    </xf>
    <xf numFmtId="49" fontId="0" fillId="9" borderId="18" xfId="0" applyNumberFormat="1" applyFill="1" applyBorder="1" applyAlignment="1" applyProtection="1">
      <alignment horizontal="left" vertical="center" wrapText="1"/>
      <protection locked="0"/>
    </xf>
    <xf numFmtId="49" fontId="0" fillId="9" borderId="14" xfId="0" applyNumberFormat="1" applyFill="1" applyBorder="1" applyAlignment="1" applyProtection="1">
      <alignment horizontal="left" vertical="center" wrapText="1"/>
      <protection locked="0"/>
    </xf>
    <xf numFmtId="0" fontId="32" fillId="13" borderId="18" xfId="0" applyFont="1" applyFill="1" applyBorder="1" applyAlignment="1" applyProtection="1">
      <alignment horizontal="center" vertical="top"/>
      <protection locked="0"/>
    </xf>
    <xf numFmtId="0" fontId="32" fillId="13" borderId="14" xfId="0" applyFont="1" applyFill="1" applyBorder="1" applyAlignment="1" applyProtection="1">
      <alignment horizontal="center" vertical="top"/>
      <protection locked="0"/>
    </xf>
    <xf numFmtId="0" fontId="0" fillId="14" borderId="18" xfId="0" applyFill="1" applyBorder="1" applyAlignment="1" applyProtection="1">
      <alignment horizontal="left" vertical="center" wrapText="1"/>
      <protection locked="0"/>
    </xf>
    <xf numFmtId="0" fontId="0" fillId="14" borderId="14" xfId="0" applyFill="1" applyBorder="1" applyAlignment="1" applyProtection="1">
      <alignment horizontal="left" vertical="center" wrapText="1"/>
      <protection locked="0"/>
    </xf>
    <xf numFmtId="0" fontId="4" fillId="9" borderId="18" xfId="0" applyFont="1" applyFill="1" applyBorder="1" applyAlignment="1" applyProtection="1">
      <alignment horizontal="left" vertical="top" wrapText="1"/>
      <protection locked="0"/>
    </xf>
    <xf numFmtId="0" fontId="0" fillId="9" borderId="14" xfId="0" applyFill="1" applyBorder="1" applyAlignment="1" applyProtection="1">
      <alignment horizontal="left" vertical="top" wrapText="1"/>
      <protection locked="0"/>
    </xf>
    <xf numFmtId="0" fontId="91" fillId="14" borderId="18" xfId="0" applyFont="1" applyFill="1" applyBorder="1" applyAlignment="1" applyProtection="1">
      <alignment horizontal="center" vertical="top" wrapText="1"/>
      <protection locked="0"/>
    </xf>
    <xf numFmtId="0" fontId="91" fillId="14" borderId="14" xfId="0" applyFont="1" applyFill="1" applyBorder="1" applyAlignment="1" applyProtection="1">
      <alignment horizontal="center" vertical="top" wrapText="1"/>
      <protection locked="0"/>
    </xf>
    <xf numFmtId="0" fontId="32" fillId="15" borderId="18" xfId="0" applyFont="1" applyFill="1" applyBorder="1" applyAlignment="1" applyProtection="1">
      <alignment horizontal="left" vertical="top" wrapText="1"/>
      <protection locked="0"/>
    </xf>
    <xf numFmtId="0" fontId="32" fillId="15" borderId="14" xfId="0" applyFont="1" applyFill="1" applyBorder="1" applyAlignment="1" applyProtection="1">
      <alignment horizontal="left" vertical="top" wrapText="1"/>
      <protection locked="0"/>
    </xf>
    <xf numFmtId="49" fontId="0" fillId="0" borderId="18" xfId="0" applyNumberFormat="1" applyBorder="1" applyAlignment="1" applyProtection="1">
      <alignment horizontal="left" vertical="center" wrapText="1"/>
      <protection locked="0"/>
    </xf>
    <xf numFmtId="49" fontId="0" fillId="0" borderId="14" xfId="0" applyNumberFormat="1" applyBorder="1" applyAlignment="1" applyProtection="1">
      <alignment horizontal="left" vertical="center" wrapText="1"/>
      <protection locked="0"/>
    </xf>
    <xf numFmtId="0" fontId="0" fillId="14" borderId="17" xfId="0" applyFill="1" applyBorder="1" applyAlignment="1" applyProtection="1">
      <alignment horizontal="center" vertical="center" wrapText="1"/>
      <protection locked="0"/>
    </xf>
    <xf numFmtId="0" fontId="0" fillId="14" borderId="15" xfId="0" applyFill="1" applyBorder="1" applyAlignment="1" applyProtection="1">
      <alignment horizontal="center" vertical="center" wrapText="1"/>
      <protection locked="0"/>
    </xf>
    <xf numFmtId="0" fontId="0" fillId="14" borderId="20" xfId="0" applyFill="1" applyBorder="1" applyAlignment="1" applyProtection="1">
      <alignment horizontal="center" vertical="center" wrapText="1"/>
      <protection locked="0"/>
    </xf>
    <xf numFmtId="0" fontId="39" fillId="0" borderId="28" xfId="0" applyFont="1" applyBorder="1" applyAlignment="1" applyProtection="1">
      <alignment horizontal="left" vertical="top" wrapText="1"/>
      <protection locked="0"/>
    </xf>
    <xf numFmtId="0" fontId="55" fillId="10" borderId="17" xfId="0" applyFont="1" applyFill="1" applyBorder="1" applyAlignment="1" applyProtection="1">
      <alignment horizontal="left" vertical="top" wrapText="1"/>
      <protection locked="0"/>
    </xf>
    <xf numFmtId="0" fontId="55" fillId="10" borderId="15" xfId="0" applyFont="1" applyFill="1" applyBorder="1" applyAlignment="1" applyProtection="1">
      <alignment horizontal="left" vertical="top" wrapText="1"/>
      <protection locked="0"/>
    </xf>
    <xf numFmtId="0" fontId="55" fillId="10" borderId="20" xfId="0" applyFont="1" applyFill="1" applyBorder="1" applyAlignment="1" applyProtection="1">
      <alignment horizontal="left" vertical="top" wrapText="1"/>
      <protection locked="0"/>
    </xf>
    <xf numFmtId="49" fontId="32" fillId="13" borderId="18" xfId="0" applyNumberFormat="1" applyFont="1" applyFill="1" applyBorder="1" applyAlignment="1" applyProtection="1">
      <alignment horizontal="center" vertical="top" wrapText="1"/>
      <protection locked="0"/>
    </xf>
    <xf numFmtId="49" fontId="32" fillId="13" borderId="14" xfId="0" applyNumberFormat="1" applyFont="1" applyFill="1" applyBorder="1" applyAlignment="1" applyProtection="1">
      <alignment horizontal="center" vertical="top" wrapText="1"/>
      <protection locked="0"/>
    </xf>
    <xf numFmtId="0" fontId="0" fillId="14" borderId="18" xfId="0" applyFill="1" applyBorder="1" applyAlignment="1" applyProtection="1">
      <alignment horizontal="center" vertical="center" wrapText="1"/>
      <protection locked="0"/>
    </xf>
    <xf numFmtId="0" fontId="0" fillId="14" borderId="14" xfId="0" applyFill="1" applyBorder="1" applyAlignment="1" applyProtection="1">
      <alignment horizontal="center" vertical="center" wrapText="1"/>
      <protection locked="0"/>
    </xf>
    <xf numFmtId="0" fontId="39" fillId="0" borderId="14" xfId="0" applyFont="1" applyBorder="1" applyAlignment="1" applyProtection="1">
      <alignment horizontal="left" vertical="top" wrapText="1"/>
      <protection locked="0"/>
    </xf>
    <xf numFmtId="49" fontId="32" fillId="9" borderId="21" xfId="0" applyNumberFormat="1" applyFont="1" applyFill="1" applyBorder="1" applyAlignment="1" applyProtection="1">
      <alignment horizontal="left" vertical="top" wrapText="1"/>
      <protection locked="0"/>
    </xf>
    <xf numFmtId="49" fontId="32" fillId="9" borderId="0" xfId="0" applyNumberFormat="1" applyFont="1" applyFill="1" applyAlignment="1" applyProtection="1">
      <alignment horizontal="left" vertical="top" wrapText="1"/>
      <protection locked="0"/>
    </xf>
    <xf numFmtId="0" fontId="0" fillId="14" borderId="11" xfId="0" applyFill="1" applyBorder="1" applyAlignment="1" applyProtection="1">
      <alignment horizontal="center" vertical="center" wrapText="1"/>
      <protection locked="0"/>
    </xf>
    <xf numFmtId="0" fontId="0" fillId="14" borderId="12" xfId="0" applyFill="1" applyBorder="1" applyAlignment="1" applyProtection="1">
      <alignment horizontal="center" vertical="center" wrapText="1"/>
      <protection locked="0"/>
    </xf>
    <xf numFmtId="0" fontId="0" fillId="14" borderId="13" xfId="0" applyFill="1" applyBorder="1" applyAlignment="1" applyProtection="1">
      <alignment horizontal="center" vertical="center" wrapText="1"/>
      <protection locked="0"/>
    </xf>
    <xf numFmtId="0" fontId="55" fillId="10" borderId="18" xfId="0" applyFont="1" applyFill="1" applyBorder="1" applyAlignment="1" applyProtection="1">
      <alignment horizontal="left" vertical="top" wrapText="1"/>
      <protection locked="0"/>
    </xf>
    <xf numFmtId="0" fontId="55" fillId="10" borderId="14" xfId="0" applyFont="1" applyFill="1" applyBorder="1" applyAlignment="1" applyProtection="1">
      <alignment horizontal="left" vertical="top" wrapText="1"/>
      <protection locked="0"/>
    </xf>
    <xf numFmtId="0" fontId="45" fillId="0" borderId="0" xfId="4" applyFont="1" applyFill="1" applyBorder="1" applyAlignment="1" applyProtection="1">
      <alignment horizontal="left" vertical="center" wrapText="1"/>
      <protection locked="0"/>
    </xf>
    <xf numFmtId="49" fontId="28" fillId="9" borderId="17" xfId="0" applyNumberFormat="1" applyFont="1" applyFill="1" applyBorder="1" applyAlignment="1" applyProtection="1">
      <alignment horizontal="center" vertical="center" wrapText="1"/>
      <protection locked="0"/>
    </xf>
    <xf numFmtId="49" fontId="28" fillId="9" borderId="15" xfId="0" applyNumberFormat="1" applyFont="1" applyFill="1" applyBorder="1" applyAlignment="1" applyProtection="1">
      <alignment horizontal="center" vertical="center" wrapText="1"/>
      <protection locked="0"/>
    </xf>
    <xf numFmtId="49" fontId="28" fillId="9" borderId="20" xfId="0" applyNumberFormat="1" applyFont="1" applyFill="1" applyBorder="1" applyAlignment="1" applyProtection="1">
      <alignment horizontal="center" vertical="center" wrapText="1"/>
      <protection locked="0"/>
    </xf>
    <xf numFmtId="0" fontId="39" fillId="0" borderId="0" xfId="0" applyFont="1" applyAlignment="1" applyProtection="1">
      <alignment horizontal="left" vertical="top" wrapText="1"/>
      <protection locked="0"/>
    </xf>
    <xf numFmtId="166" fontId="0" fillId="9" borderId="18" xfId="0" applyNumberFormat="1" applyFill="1" applyBorder="1" applyAlignment="1" applyProtection="1">
      <alignment horizontal="left" vertical="center" wrapText="1"/>
      <protection locked="0"/>
    </xf>
    <xf numFmtId="166" fontId="0" fillId="9" borderId="14" xfId="0" applyNumberFormat="1" applyFill="1" applyBorder="1" applyAlignment="1" applyProtection="1">
      <alignment horizontal="left" vertical="center" wrapText="1"/>
      <protection locked="0"/>
    </xf>
    <xf numFmtId="166" fontId="0" fillId="9" borderId="23" xfId="0" applyNumberFormat="1" applyFill="1" applyBorder="1" applyAlignment="1" applyProtection="1">
      <alignment horizontal="left" vertical="center" wrapText="1"/>
      <protection locked="0"/>
    </xf>
    <xf numFmtId="166" fontId="0" fillId="9" borderId="18" xfId="0" applyNumberFormat="1" applyFill="1" applyBorder="1" applyAlignment="1" applyProtection="1">
      <alignment horizontal="left" vertical="top" wrapText="1"/>
      <protection locked="0"/>
    </xf>
    <xf numFmtId="166" fontId="0" fillId="9" borderId="14" xfId="0" applyNumberFormat="1" applyFill="1" applyBorder="1" applyAlignment="1" applyProtection="1">
      <alignment horizontal="left" vertical="top" wrapText="1"/>
      <protection locked="0"/>
    </xf>
    <xf numFmtId="166" fontId="0" fillId="9" borderId="23" xfId="0" applyNumberFormat="1" applyFill="1" applyBorder="1" applyAlignment="1" applyProtection="1">
      <alignment horizontal="left" vertical="top" wrapText="1"/>
      <protection locked="0"/>
    </xf>
    <xf numFmtId="166" fontId="0" fillId="9" borderId="17" xfId="0" applyNumberFormat="1" applyFill="1" applyBorder="1" applyAlignment="1" applyProtection="1">
      <alignment horizontal="left" vertical="center" wrapText="1"/>
      <protection locked="0"/>
    </xf>
    <xf numFmtId="166" fontId="0" fillId="9" borderId="15" xfId="0" applyNumberFormat="1" applyFill="1" applyBorder="1" applyAlignment="1" applyProtection="1">
      <alignment horizontal="left" vertical="center" wrapText="1"/>
      <protection locked="0"/>
    </xf>
    <xf numFmtId="166" fontId="0" fillId="9" borderId="20" xfId="0" applyNumberFormat="1" applyFill="1" applyBorder="1" applyAlignment="1" applyProtection="1">
      <alignment horizontal="left" vertical="center" wrapText="1"/>
      <protection locked="0"/>
    </xf>
    <xf numFmtId="49" fontId="0" fillId="9" borderId="18" xfId="0" applyNumberFormat="1" applyFill="1" applyBorder="1" applyAlignment="1" applyProtection="1">
      <alignment horizontal="center" vertical="top" wrapText="1"/>
      <protection locked="0"/>
    </xf>
    <xf numFmtId="49" fontId="0" fillId="9" borderId="14" xfId="0" applyNumberFormat="1" applyFill="1" applyBorder="1" applyAlignment="1" applyProtection="1">
      <alignment horizontal="center" vertical="top" wrapText="1"/>
      <protection locked="0"/>
    </xf>
    <xf numFmtId="0" fontId="91" fillId="13" borderId="18" xfId="0" applyFont="1" applyFill="1" applyBorder="1" applyAlignment="1" applyProtection="1">
      <alignment horizontal="center" vertical="center" wrapText="1"/>
      <protection locked="0"/>
    </xf>
    <xf numFmtId="0" fontId="91" fillId="13" borderId="14" xfId="0" applyFont="1" applyFill="1" applyBorder="1" applyAlignment="1" applyProtection="1">
      <alignment horizontal="center" vertical="center" wrapText="1"/>
      <protection locked="0"/>
    </xf>
    <xf numFmtId="166" fontId="0" fillId="27" borderId="18" xfId="0" applyNumberFormat="1" applyFill="1" applyBorder="1" applyAlignment="1" applyProtection="1">
      <alignment horizontal="center" vertical="center" wrapText="1"/>
      <protection locked="0"/>
    </xf>
    <xf numFmtId="166" fontId="0" fillId="27" borderId="14" xfId="0" applyNumberFormat="1" applyFill="1" applyBorder="1" applyAlignment="1" applyProtection="1">
      <alignment horizontal="center" vertical="center" wrapText="1"/>
      <protection locked="0"/>
    </xf>
    <xf numFmtId="166" fontId="0" fillId="27" borderId="23" xfId="0" applyNumberFormat="1" applyFill="1" applyBorder="1" applyAlignment="1" applyProtection="1">
      <alignment horizontal="center" vertical="center" wrapText="1"/>
      <protection locked="0"/>
    </xf>
    <xf numFmtId="166" fontId="0" fillId="24" borderId="17" xfId="0" applyNumberFormat="1" applyFill="1" applyBorder="1" applyAlignment="1" applyProtection="1">
      <alignment horizontal="center" vertical="center" wrapText="1"/>
      <protection locked="0"/>
    </xf>
    <xf numFmtId="166" fontId="0" fillId="24" borderId="15" xfId="0" applyNumberFormat="1" applyFill="1" applyBorder="1" applyAlignment="1" applyProtection="1">
      <alignment horizontal="center" vertical="center" wrapText="1"/>
      <protection locked="0"/>
    </xf>
    <xf numFmtId="166" fontId="0" fillId="24" borderId="20" xfId="0" applyNumberFormat="1" applyFill="1" applyBorder="1" applyAlignment="1" applyProtection="1">
      <alignment horizontal="center" vertical="center" wrapText="1"/>
      <protection locked="0"/>
    </xf>
    <xf numFmtId="0" fontId="25" fillId="13" borderId="18" xfId="0" applyFont="1" applyFill="1" applyBorder="1" applyAlignment="1" applyProtection="1">
      <alignment horizontal="center" vertical="center" wrapText="1"/>
      <protection locked="0"/>
    </xf>
    <xf numFmtId="0" fontId="25" fillId="13" borderId="14" xfId="0" applyFont="1" applyFill="1" applyBorder="1" applyAlignment="1" applyProtection="1">
      <alignment horizontal="center" vertical="center" wrapText="1"/>
      <protection locked="0"/>
    </xf>
    <xf numFmtId="49" fontId="95" fillId="27" borderId="18" xfId="0" applyNumberFormat="1" applyFont="1" applyFill="1" applyBorder="1" applyAlignment="1" applyProtection="1">
      <alignment horizontal="center" vertical="center" wrapText="1"/>
      <protection locked="0"/>
    </xf>
    <xf numFmtId="49" fontId="95" fillId="27" borderId="14" xfId="0" applyNumberFormat="1" applyFont="1" applyFill="1" applyBorder="1" applyAlignment="1" applyProtection="1">
      <alignment horizontal="center" vertical="center" wrapText="1"/>
      <protection locked="0"/>
    </xf>
    <xf numFmtId="166" fontId="120" fillId="24" borderId="18" xfId="0" applyNumberFormat="1" applyFont="1" applyFill="1" applyBorder="1" applyAlignment="1" applyProtection="1">
      <alignment horizontal="center" vertical="center" wrapText="1"/>
      <protection locked="0"/>
    </xf>
    <xf numFmtId="166" fontId="120" fillId="24" borderId="14" xfId="0" applyNumberFormat="1" applyFont="1" applyFill="1" applyBorder="1" applyAlignment="1" applyProtection="1">
      <alignment horizontal="center" vertical="center" wrapText="1"/>
      <protection locked="0"/>
    </xf>
    <xf numFmtId="166" fontId="0" fillId="9" borderId="18" xfId="0" applyNumberFormat="1" applyFill="1" applyBorder="1" applyAlignment="1" applyProtection="1">
      <alignment horizontal="left" wrapText="1"/>
      <protection locked="0"/>
    </xf>
    <xf numFmtId="166" fontId="0" fillId="9" borderId="14" xfId="0" applyNumberFormat="1" applyFill="1" applyBorder="1" applyAlignment="1" applyProtection="1">
      <alignment horizontal="left" wrapText="1"/>
      <protection locked="0"/>
    </xf>
    <xf numFmtId="0" fontId="91" fillId="13" borderId="17" xfId="0" applyFont="1" applyFill="1" applyBorder="1" applyAlignment="1" applyProtection="1">
      <alignment horizontal="center" vertical="center" wrapText="1"/>
      <protection locked="0"/>
    </xf>
    <xf numFmtId="0" fontId="91" fillId="13" borderId="15" xfId="0" applyFont="1" applyFill="1" applyBorder="1" applyAlignment="1" applyProtection="1">
      <alignment horizontal="center" vertical="center" wrapText="1"/>
      <protection locked="0"/>
    </xf>
    <xf numFmtId="0" fontId="91" fillId="13" borderId="20" xfId="0" applyFont="1" applyFill="1" applyBorder="1" applyAlignment="1" applyProtection="1">
      <alignment horizontal="center" vertical="center" wrapText="1"/>
      <protection locked="0"/>
    </xf>
    <xf numFmtId="49" fontId="95" fillId="27" borderId="17" xfId="0" applyNumberFormat="1" applyFont="1" applyFill="1" applyBorder="1" applyAlignment="1" applyProtection="1">
      <alignment horizontal="center" vertical="center" wrapText="1"/>
      <protection locked="0"/>
    </xf>
    <xf numFmtId="49" fontId="95" fillId="27" borderId="15" xfId="0" applyNumberFormat="1" applyFont="1" applyFill="1" applyBorder="1" applyAlignment="1" applyProtection="1">
      <alignment horizontal="center" vertical="center" wrapText="1"/>
      <protection locked="0"/>
    </xf>
    <xf numFmtId="49" fontId="95" fillId="27" borderId="20" xfId="0" applyNumberFormat="1" applyFont="1" applyFill="1" applyBorder="1" applyAlignment="1" applyProtection="1">
      <alignment horizontal="center" vertical="center" wrapText="1"/>
      <protection locked="0"/>
    </xf>
    <xf numFmtId="49" fontId="0" fillId="9" borderId="17" xfId="0" applyNumberFormat="1" applyFill="1" applyBorder="1" applyAlignment="1" applyProtection="1">
      <alignment horizontal="center" vertical="center" wrapText="1"/>
      <protection locked="0"/>
    </xf>
    <xf numFmtId="49" fontId="0" fillId="9" borderId="15" xfId="0" applyNumberFormat="1" applyFill="1" applyBorder="1" applyAlignment="1" applyProtection="1">
      <alignment horizontal="center" vertical="center" wrapText="1"/>
      <protection locked="0"/>
    </xf>
    <xf numFmtId="49" fontId="0" fillId="9" borderId="20" xfId="0" applyNumberFormat="1" applyFill="1" applyBorder="1" applyAlignment="1" applyProtection="1">
      <alignment horizontal="center" vertical="center" wrapText="1"/>
      <protection locked="0"/>
    </xf>
    <xf numFmtId="0" fontId="0" fillId="9" borderId="20" xfId="0" applyFill="1" applyBorder="1" applyAlignment="1" applyProtection="1">
      <alignment horizontal="left" vertical="top" wrapText="1"/>
      <protection locked="0"/>
    </xf>
    <xf numFmtId="0" fontId="0" fillId="9" borderId="18" xfId="0" applyFill="1" applyBorder="1" applyAlignment="1" applyProtection="1">
      <alignment horizontal="center" vertical="center" wrapText="1"/>
      <protection locked="0"/>
    </xf>
    <xf numFmtId="0" fontId="0" fillId="9" borderId="14" xfId="0" applyFill="1" applyBorder="1" applyAlignment="1" applyProtection="1">
      <alignment horizontal="center" vertical="center" wrapText="1"/>
      <protection locked="0"/>
    </xf>
    <xf numFmtId="0" fontId="0" fillId="14" borderId="18" xfId="0" applyFill="1" applyBorder="1" applyAlignment="1" applyProtection="1">
      <alignment horizontal="left" vertical="top" wrapText="1"/>
      <protection locked="0"/>
    </xf>
    <xf numFmtId="0" fontId="0" fillId="14" borderId="14" xfId="0" applyFill="1" applyBorder="1" applyAlignment="1" applyProtection="1">
      <alignment horizontal="left" vertical="top" wrapText="1"/>
      <protection locked="0"/>
    </xf>
    <xf numFmtId="166" fontId="28" fillId="27" borderId="17" xfId="0" applyNumberFormat="1" applyFont="1" applyFill="1" applyBorder="1" applyAlignment="1" applyProtection="1">
      <alignment horizontal="center" vertical="center" wrapText="1"/>
      <protection locked="0"/>
    </xf>
    <xf numFmtId="166" fontId="28" fillId="27" borderId="15" xfId="0" applyNumberFormat="1" applyFont="1" applyFill="1" applyBorder="1" applyAlignment="1" applyProtection="1">
      <alignment horizontal="center" vertical="center" wrapText="1"/>
      <protection locked="0"/>
    </xf>
    <xf numFmtId="166" fontId="28" fillId="27" borderId="20" xfId="0" applyNumberFormat="1" applyFont="1" applyFill="1" applyBorder="1" applyAlignment="1" applyProtection="1">
      <alignment horizontal="center" vertical="center" wrapText="1"/>
      <protection locked="0"/>
    </xf>
    <xf numFmtId="49" fontId="28" fillId="25" borderId="17" xfId="0" applyNumberFormat="1" applyFont="1" applyFill="1" applyBorder="1" applyAlignment="1" applyProtection="1">
      <alignment horizontal="center" vertical="center" wrapText="1"/>
      <protection locked="0"/>
    </xf>
    <xf numFmtId="49" fontId="28" fillId="25" borderId="15" xfId="0" applyNumberFormat="1" applyFont="1" applyFill="1" applyBorder="1" applyAlignment="1" applyProtection="1">
      <alignment horizontal="center" vertical="center" wrapText="1"/>
      <protection locked="0"/>
    </xf>
    <xf numFmtId="49" fontId="28" fillId="25" borderId="20" xfId="0" applyNumberFormat="1" applyFont="1" applyFill="1" applyBorder="1" applyAlignment="1" applyProtection="1">
      <alignment horizontal="center" vertical="center" wrapText="1"/>
      <protection locked="0"/>
    </xf>
    <xf numFmtId="0" fontId="0" fillId="25" borderId="17" xfId="0" applyFill="1" applyBorder="1" applyAlignment="1" applyProtection="1">
      <alignment horizontal="left" vertical="top" wrapText="1"/>
      <protection locked="0"/>
    </xf>
    <xf numFmtId="0" fontId="0" fillId="25" borderId="15" xfId="0" applyFill="1" applyBorder="1" applyAlignment="1" applyProtection="1">
      <alignment horizontal="left" vertical="top" wrapText="1"/>
      <protection locked="0"/>
    </xf>
    <xf numFmtId="0" fontId="0" fillId="25" borderId="20" xfId="0" applyFill="1" applyBorder="1" applyAlignment="1" applyProtection="1">
      <alignment horizontal="left" vertical="top" wrapText="1"/>
      <protection locked="0"/>
    </xf>
    <xf numFmtId="49" fontId="0" fillId="25" borderId="18" xfId="0" applyNumberFormat="1" applyFill="1" applyBorder="1" applyAlignment="1" applyProtection="1">
      <alignment horizontal="center" vertical="top" wrapText="1"/>
      <protection locked="0"/>
    </xf>
    <xf numFmtId="49" fontId="0" fillId="25" borderId="14" xfId="0" applyNumberFormat="1" applyFill="1" applyBorder="1" applyAlignment="1" applyProtection="1">
      <alignment horizontal="center" vertical="top" wrapText="1"/>
      <protection locked="0"/>
    </xf>
    <xf numFmtId="0" fontId="0" fillId="24" borderId="18" xfId="0" applyFill="1" applyBorder="1" applyAlignment="1" applyProtection="1">
      <alignment horizontal="center" vertical="center" wrapText="1"/>
      <protection locked="0"/>
    </xf>
    <xf numFmtId="0" fontId="0" fillId="24" borderId="14" xfId="0" applyFill="1" applyBorder="1" applyAlignment="1" applyProtection="1">
      <alignment horizontal="center" vertical="center" wrapText="1"/>
      <protection locked="0"/>
    </xf>
    <xf numFmtId="166" fontId="0" fillId="27" borderId="18" xfId="0" applyNumberFormat="1" applyFill="1" applyBorder="1" applyAlignment="1" applyProtection="1">
      <alignment horizontal="center" vertical="top" wrapText="1"/>
      <protection locked="0"/>
    </xf>
    <xf numFmtId="166" fontId="0" fillId="27" borderId="14" xfId="0" applyNumberFormat="1" applyFill="1" applyBorder="1" applyAlignment="1" applyProtection="1">
      <alignment horizontal="center" vertical="top" wrapText="1"/>
      <protection locked="0"/>
    </xf>
    <xf numFmtId="49" fontId="0" fillId="25" borderId="18" xfId="0" applyNumberFormat="1" applyFill="1" applyBorder="1" applyAlignment="1" applyProtection="1">
      <alignment horizontal="center" vertical="center" wrapText="1"/>
      <protection locked="0"/>
    </xf>
    <xf numFmtId="49" fontId="0" fillId="25" borderId="14" xfId="0" applyNumberFormat="1" applyFill="1" applyBorder="1" applyAlignment="1" applyProtection="1">
      <alignment horizontal="center" vertical="center" wrapText="1"/>
      <protection locked="0"/>
    </xf>
    <xf numFmtId="0" fontId="0" fillId="25" borderId="18" xfId="0" applyFill="1" applyBorder="1" applyAlignment="1" applyProtection="1">
      <alignment horizontal="center" vertical="top" wrapText="1"/>
      <protection locked="0"/>
    </xf>
    <xf numFmtId="0" fontId="0" fillId="25" borderId="14" xfId="0" applyFill="1" applyBorder="1" applyAlignment="1" applyProtection="1">
      <alignment horizontal="center" vertical="top" wrapText="1"/>
      <protection locked="0"/>
    </xf>
    <xf numFmtId="166" fontId="28" fillId="27" borderId="18" xfId="0" applyNumberFormat="1" applyFont="1" applyFill="1" applyBorder="1" applyAlignment="1" applyProtection="1">
      <alignment horizontal="center" vertical="top" wrapText="1"/>
      <protection locked="0"/>
    </xf>
    <xf numFmtId="166" fontId="28" fillId="27" borderId="14" xfId="0" applyNumberFormat="1" applyFont="1" applyFill="1" applyBorder="1" applyAlignment="1" applyProtection="1">
      <alignment horizontal="center" vertical="top" wrapText="1"/>
      <protection locked="0"/>
    </xf>
    <xf numFmtId="166" fontId="28" fillId="27" borderId="18" xfId="0" applyNumberFormat="1" applyFont="1" applyFill="1" applyBorder="1" applyAlignment="1" applyProtection="1">
      <alignment horizontal="center" vertical="center" wrapText="1"/>
      <protection locked="0"/>
    </xf>
    <xf numFmtId="166" fontId="28" fillId="27" borderId="14" xfId="0" applyNumberFormat="1" applyFont="1" applyFill="1" applyBorder="1" applyAlignment="1" applyProtection="1">
      <alignment horizontal="center" vertical="center" wrapText="1"/>
      <protection locked="0"/>
    </xf>
    <xf numFmtId="49" fontId="95" fillId="27" borderId="18" xfId="0" applyNumberFormat="1" applyFont="1" applyFill="1" applyBorder="1" applyAlignment="1" applyProtection="1">
      <alignment horizontal="center" vertical="top" wrapText="1"/>
      <protection locked="0"/>
    </xf>
    <xf numFmtId="49" fontId="95" fillId="27" borderId="14" xfId="0" applyNumberFormat="1" applyFont="1" applyFill="1" applyBorder="1" applyAlignment="1" applyProtection="1">
      <alignment horizontal="center" vertical="top" wrapText="1"/>
      <protection locked="0"/>
    </xf>
    <xf numFmtId="0" fontId="25" fillId="14" borderId="18" xfId="0" applyFont="1" applyFill="1" applyBorder="1" applyAlignment="1" applyProtection="1">
      <alignment horizontal="center" vertical="center" wrapText="1"/>
      <protection locked="0"/>
    </xf>
    <xf numFmtId="0" fontId="25" fillId="14" borderId="14" xfId="0" applyFont="1" applyFill="1" applyBorder="1" applyAlignment="1" applyProtection="1">
      <alignment horizontal="center" vertical="center" wrapText="1"/>
      <protection locked="0"/>
    </xf>
    <xf numFmtId="166" fontId="0" fillId="9" borderId="18" xfId="0" applyNumberFormat="1" applyFill="1" applyBorder="1" applyAlignment="1" applyProtection="1">
      <alignment horizontal="center" vertical="top" wrapText="1"/>
      <protection locked="0"/>
    </xf>
    <xf numFmtId="166" fontId="0" fillId="9" borderId="14" xfId="0" applyNumberFormat="1" applyFill="1" applyBorder="1" applyAlignment="1" applyProtection="1">
      <alignment horizontal="center" vertical="top" wrapText="1"/>
      <protection locked="0"/>
    </xf>
    <xf numFmtId="0" fontId="0" fillId="9" borderId="17" xfId="0" applyFill="1" applyBorder="1" applyAlignment="1" applyProtection="1">
      <alignment horizontal="center" vertical="center" wrapText="1"/>
      <protection locked="0"/>
    </xf>
    <xf numFmtId="0" fontId="0" fillId="9" borderId="15" xfId="0" applyFill="1" applyBorder="1" applyAlignment="1" applyProtection="1">
      <alignment horizontal="center" vertical="center" wrapText="1"/>
      <protection locked="0"/>
    </xf>
    <xf numFmtId="3" fontId="0" fillId="9" borderId="17" xfId="0" applyNumberFormat="1" applyFill="1" applyBorder="1" applyAlignment="1" applyProtection="1">
      <alignment horizontal="left" vertical="top" wrapText="1"/>
      <protection locked="0"/>
    </xf>
    <xf numFmtId="3" fontId="0" fillId="9" borderId="15" xfId="0" applyNumberFormat="1" applyFill="1" applyBorder="1" applyAlignment="1" applyProtection="1">
      <alignment horizontal="left" vertical="top" wrapText="1"/>
      <protection locked="0"/>
    </xf>
    <xf numFmtId="3" fontId="0" fillId="9" borderId="20" xfId="0" applyNumberFormat="1" applyFill="1" applyBorder="1" applyAlignment="1" applyProtection="1">
      <alignment horizontal="left" vertical="top" wrapText="1"/>
      <protection locked="0"/>
    </xf>
    <xf numFmtId="0" fontId="0" fillId="14" borderId="18" xfId="0" applyFill="1" applyBorder="1" applyAlignment="1" applyProtection="1">
      <alignment horizontal="center" vertical="center"/>
      <protection locked="0"/>
    </xf>
    <xf numFmtId="0" fontId="0" fillId="14" borderId="14" xfId="0" applyFill="1" applyBorder="1" applyAlignment="1" applyProtection="1">
      <alignment horizontal="center" vertical="center"/>
      <protection locked="0"/>
    </xf>
    <xf numFmtId="0" fontId="0" fillId="14" borderId="18" xfId="0" quotePrefix="1" applyFill="1" applyBorder="1" applyAlignment="1" applyProtection="1">
      <alignment horizontal="left" vertical="center" wrapText="1"/>
      <protection locked="0"/>
    </xf>
    <xf numFmtId="0" fontId="0" fillId="14" borderId="14" xfId="0" quotePrefix="1" applyFill="1" applyBorder="1" applyAlignment="1" applyProtection="1">
      <alignment horizontal="left" vertical="center" wrapText="1"/>
      <protection locked="0"/>
    </xf>
    <xf numFmtId="0" fontId="0" fillId="14" borderId="23" xfId="0" applyFill="1" applyBorder="1" applyAlignment="1" applyProtection="1">
      <alignment horizontal="center" vertical="center"/>
      <protection locked="0"/>
    </xf>
    <xf numFmtId="0" fontId="0" fillId="9" borderId="20" xfId="0" applyFill="1" applyBorder="1" applyAlignment="1" applyProtection="1">
      <alignment horizontal="center" vertical="center" wrapText="1"/>
      <protection locked="0"/>
    </xf>
    <xf numFmtId="0" fontId="8" fillId="13" borderId="18" xfId="0" applyFont="1" applyFill="1" applyBorder="1" applyAlignment="1" applyProtection="1">
      <alignment horizontal="center" vertical="center" wrapText="1"/>
      <protection locked="0"/>
    </xf>
    <xf numFmtId="0" fontId="8" fillId="13" borderId="23" xfId="0" applyFont="1" applyFill="1" applyBorder="1" applyAlignment="1" applyProtection="1">
      <alignment horizontal="center" vertical="center" wrapText="1"/>
      <protection locked="0"/>
    </xf>
    <xf numFmtId="0" fontId="0" fillId="10" borderId="17" xfId="0" applyFill="1" applyBorder="1" applyAlignment="1" applyProtection="1">
      <alignment horizontal="left" vertical="top" wrapText="1"/>
      <protection locked="0"/>
    </xf>
    <xf numFmtId="0" fontId="0" fillId="10" borderId="20" xfId="0" applyFill="1" applyBorder="1" applyAlignment="1" applyProtection="1">
      <alignment horizontal="left" vertical="top" wrapText="1"/>
      <protection locked="0"/>
    </xf>
    <xf numFmtId="0" fontId="0" fillId="14" borderId="23" xfId="0" applyFill="1" applyBorder="1" applyAlignment="1" applyProtection="1">
      <alignment horizontal="center" vertical="center" wrapText="1"/>
      <protection locked="0"/>
    </xf>
    <xf numFmtId="0" fontId="8" fillId="14" borderId="18" xfId="0" applyFont="1" applyFill="1" applyBorder="1" applyAlignment="1" applyProtection="1">
      <alignment horizontal="left" vertical="top" wrapText="1"/>
      <protection locked="0"/>
    </xf>
    <xf numFmtId="0" fontId="8" fillId="14" borderId="14" xfId="0" applyFont="1" applyFill="1" applyBorder="1" applyAlignment="1" applyProtection="1">
      <alignment horizontal="left" vertical="top" wrapText="1"/>
      <protection locked="0"/>
    </xf>
    <xf numFmtId="0" fontId="8" fillId="13" borderId="14" xfId="0" applyFont="1" applyFill="1" applyBorder="1" applyAlignment="1" applyProtection="1">
      <alignment horizontal="center" vertical="center" wrapText="1"/>
      <protection locked="0"/>
    </xf>
    <xf numFmtId="0" fontId="8" fillId="9" borderId="18" xfId="0" applyFont="1" applyFill="1" applyBorder="1" applyAlignment="1" applyProtection="1">
      <alignment horizontal="left" vertical="center" wrapText="1"/>
      <protection locked="0"/>
    </xf>
    <xf numFmtId="0" fontId="13" fillId="0" borderId="14" xfId="0" applyFont="1" applyBorder="1" applyAlignment="1" applyProtection="1">
      <alignment horizontal="left" vertical="top" wrapText="1"/>
      <protection locked="0"/>
    </xf>
    <xf numFmtId="0" fontId="0" fillId="9" borderId="18" xfId="0" applyFill="1" applyBorder="1" applyAlignment="1">
      <alignment horizontal="left" vertical="top"/>
    </xf>
    <xf numFmtId="0" fontId="0" fillId="9" borderId="14" xfId="0" applyFill="1" applyBorder="1" applyAlignment="1">
      <alignment horizontal="left" vertical="top"/>
    </xf>
    <xf numFmtId="0" fontId="0" fillId="9" borderId="21" xfId="0" applyFill="1" applyBorder="1" applyAlignment="1">
      <alignment horizontal="left" vertical="top"/>
    </xf>
    <xf numFmtId="0" fontId="0" fillId="9" borderId="0" xfId="0" applyFill="1" applyAlignment="1">
      <alignment horizontal="left" vertical="top"/>
    </xf>
    <xf numFmtId="0" fontId="0" fillId="9" borderId="18" xfId="0" applyFill="1" applyBorder="1" applyAlignment="1" applyProtection="1">
      <alignment horizontal="left" vertical="center"/>
      <protection locked="0"/>
    </xf>
    <xf numFmtId="0" fontId="0" fillId="9" borderId="14" xfId="0" applyFill="1" applyBorder="1" applyAlignment="1" applyProtection="1">
      <alignment horizontal="left" vertical="center"/>
      <protection locked="0"/>
    </xf>
    <xf numFmtId="0" fontId="2" fillId="0" borderId="0" xfId="0" applyFont="1" applyAlignment="1" applyProtection="1">
      <alignment horizontal="left" wrapText="1"/>
      <protection locked="0"/>
    </xf>
    <xf numFmtId="0" fontId="7" fillId="0" borderId="0" xfId="0" applyFont="1" applyAlignment="1" applyProtection="1">
      <alignment horizontal="left" wrapText="1"/>
      <protection locked="0"/>
    </xf>
    <xf numFmtId="0" fontId="3" fillId="26" borderId="17" xfId="0" applyFont="1" applyFill="1" applyBorder="1" applyAlignment="1" applyProtection="1">
      <alignment horizontal="left" vertical="center" wrapText="1"/>
      <protection locked="0"/>
    </xf>
    <xf numFmtId="0" fontId="3" fillId="26" borderId="15" xfId="0" applyFont="1" applyFill="1" applyBorder="1" applyAlignment="1" applyProtection="1">
      <alignment horizontal="left" vertical="center" wrapText="1"/>
      <protection locked="0"/>
    </xf>
    <xf numFmtId="0" fontId="3" fillId="26" borderId="20" xfId="0" applyFont="1" applyFill="1" applyBorder="1" applyAlignment="1" applyProtection="1">
      <alignment horizontal="left" vertical="center" wrapText="1"/>
      <protection locked="0"/>
    </xf>
    <xf numFmtId="3" fontId="0" fillId="9" borderId="17" xfId="0" applyNumberFormat="1" applyFill="1" applyBorder="1" applyAlignment="1" applyProtection="1">
      <alignment horizontal="left" vertical="center" wrapText="1"/>
      <protection locked="0"/>
    </xf>
    <xf numFmtId="3" fontId="0" fillId="9" borderId="15" xfId="0" applyNumberFormat="1" applyFill="1" applyBorder="1" applyAlignment="1" applyProtection="1">
      <alignment horizontal="left" vertical="center" wrapText="1"/>
      <protection locked="0"/>
    </xf>
    <xf numFmtId="3" fontId="0" fillId="9" borderId="20" xfId="0" applyNumberFormat="1" applyFill="1" applyBorder="1" applyAlignment="1" applyProtection="1">
      <alignment horizontal="left" vertical="center" wrapText="1"/>
      <protection locked="0"/>
    </xf>
    <xf numFmtId="0" fontId="0" fillId="14" borderId="16" xfId="0" quotePrefix="1" applyFill="1" applyBorder="1" applyAlignment="1" applyProtection="1">
      <alignment horizontal="left" vertical="center" wrapText="1"/>
      <protection locked="0"/>
    </xf>
    <xf numFmtId="0" fontId="0" fillId="33" borderId="16" xfId="0" applyFill="1" applyBorder="1" applyAlignment="1" applyProtection="1">
      <alignment horizontal="center" vertical="center" wrapText="1"/>
      <protection locked="0"/>
    </xf>
    <xf numFmtId="0" fontId="0" fillId="14" borderId="35" xfId="0" applyFill="1" applyBorder="1" applyAlignment="1" applyProtection="1">
      <alignment horizontal="center" vertical="center" wrapText="1"/>
      <protection locked="0"/>
    </xf>
    <xf numFmtId="0" fontId="0" fillId="14" borderId="36" xfId="0" applyFill="1" applyBorder="1" applyAlignment="1" applyProtection="1">
      <alignment horizontal="center" vertical="center" wrapText="1"/>
      <protection locked="0"/>
    </xf>
    <xf numFmtId="0" fontId="0" fillId="14" borderId="46" xfId="0" applyFill="1" applyBorder="1" applyAlignment="1" applyProtection="1">
      <alignment horizontal="center" vertical="center" wrapText="1"/>
      <protection locked="0"/>
    </xf>
    <xf numFmtId="0" fontId="25" fillId="14" borderId="18" xfId="0" applyFont="1" applyFill="1" applyBorder="1" applyAlignment="1" applyProtection="1">
      <alignment horizontal="left" vertical="center" wrapText="1"/>
      <protection locked="0"/>
    </xf>
    <xf numFmtId="0" fontId="25" fillId="14" borderId="14" xfId="0" applyFont="1" applyFill="1" applyBorder="1" applyAlignment="1" applyProtection="1">
      <alignment horizontal="left" vertical="center" wrapText="1"/>
      <protection locked="0"/>
    </xf>
    <xf numFmtId="3" fontId="14" fillId="2" borderId="18" xfId="0" applyNumberFormat="1" applyFont="1" applyFill="1" applyBorder="1" applyAlignment="1" applyProtection="1">
      <alignment horizontal="left" vertical="center" wrapText="1"/>
      <protection locked="0"/>
    </xf>
    <xf numFmtId="3" fontId="14" fillId="2" borderId="14" xfId="0" applyNumberFormat="1" applyFont="1" applyFill="1" applyBorder="1" applyAlignment="1" applyProtection="1">
      <alignment horizontal="left" vertical="center" wrapText="1"/>
      <protection locked="0"/>
    </xf>
    <xf numFmtId="168" fontId="14" fillId="2" borderId="18" xfId="0" applyNumberFormat="1" applyFont="1" applyFill="1" applyBorder="1" applyAlignment="1" applyProtection="1">
      <alignment horizontal="right" vertical="center" wrapText="1"/>
      <protection locked="0"/>
    </xf>
    <xf numFmtId="168" fontId="14" fillId="2" borderId="14" xfId="0" applyNumberFormat="1" applyFont="1" applyFill="1" applyBorder="1" applyAlignment="1" applyProtection="1">
      <alignment horizontal="right" vertical="center" wrapText="1"/>
      <protection locked="0"/>
    </xf>
    <xf numFmtId="0" fontId="0" fillId="14" borderId="18" xfId="0" applyFill="1" applyBorder="1" applyAlignment="1" applyProtection="1">
      <alignment horizontal="left" vertical="center" wrapText="1" indent="2"/>
      <protection locked="0"/>
    </xf>
    <xf numFmtId="0" fontId="0" fillId="14" borderId="14" xfId="0" applyFill="1" applyBorder="1" applyAlignment="1" applyProtection="1">
      <alignment horizontal="left" vertical="center" wrapText="1" indent="2"/>
      <protection locked="0"/>
    </xf>
    <xf numFmtId="0" fontId="0" fillId="9" borderId="18" xfId="0" applyFill="1" applyBorder="1" applyAlignment="1" applyProtection="1">
      <alignment horizontal="center" wrapText="1"/>
      <protection locked="0"/>
    </xf>
    <xf numFmtId="0" fontId="0" fillId="9" borderId="14" xfId="0" applyFill="1" applyBorder="1" applyAlignment="1" applyProtection="1">
      <alignment horizontal="center" wrapText="1"/>
      <protection locked="0"/>
    </xf>
    <xf numFmtId="0" fontId="0" fillId="9" borderId="18" xfId="0" applyFill="1" applyBorder="1" applyAlignment="1" applyProtection="1">
      <alignment horizontal="left" vertical="center" wrapText="1"/>
      <protection locked="0"/>
    </xf>
    <xf numFmtId="0" fontId="0" fillId="9" borderId="14" xfId="0" applyFill="1" applyBorder="1" applyAlignment="1" applyProtection="1">
      <alignment horizontal="left" vertical="center" wrapText="1"/>
      <protection locked="0"/>
    </xf>
    <xf numFmtId="0" fontId="0" fillId="14" borderId="17" xfId="0" applyFill="1" applyBorder="1" applyAlignment="1" applyProtection="1">
      <alignment horizontal="left" vertical="center" wrapText="1"/>
      <protection locked="0"/>
    </xf>
    <xf numFmtId="0" fontId="0" fillId="14" borderId="20" xfId="0" applyFill="1" applyBorder="1" applyAlignment="1" applyProtection="1">
      <alignment horizontal="left" vertical="center" wrapText="1"/>
      <protection locked="0"/>
    </xf>
    <xf numFmtId="0" fontId="0" fillId="14" borderId="23" xfId="0" applyFill="1" applyBorder="1" applyAlignment="1" applyProtection="1">
      <alignment horizontal="left" vertical="center" wrapText="1" indent="2"/>
      <protection locked="0"/>
    </xf>
    <xf numFmtId="0" fontId="0" fillId="14" borderId="21" xfId="0" applyFill="1" applyBorder="1" applyAlignment="1" applyProtection="1">
      <alignment horizontal="left" vertical="center" wrapText="1" indent="2"/>
      <protection locked="0"/>
    </xf>
    <xf numFmtId="0" fontId="0" fillId="14" borderId="45" xfId="0" applyFill="1" applyBorder="1" applyAlignment="1" applyProtection="1">
      <alignment horizontal="left" vertical="center" wrapText="1" indent="2"/>
      <protection locked="0"/>
    </xf>
    <xf numFmtId="0" fontId="0" fillId="14" borderId="35" xfId="0" applyFill="1" applyBorder="1" applyAlignment="1" applyProtection="1">
      <alignment horizontal="left" vertical="center" wrapText="1" indent="2"/>
      <protection locked="0"/>
    </xf>
    <xf numFmtId="0" fontId="0" fillId="14" borderId="46" xfId="0" applyFill="1" applyBorder="1" applyAlignment="1" applyProtection="1">
      <alignment horizontal="left" vertical="center" wrapText="1" indent="2"/>
      <protection locked="0"/>
    </xf>
    <xf numFmtId="0" fontId="0" fillId="14" borderId="47" xfId="0" applyFill="1" applyBorder="1" applyAlignment="1" applyProtection="1">
      <alignment horizontal="left" vertical="center" wrapText="1" indent="2"/>
      <protection locked="0"/>
    </xf>
    <xf numFmtId="0" fontId="0" fillId="14" borderId="48" xfId="0" applyFill="1" applyBorder="1" applyAlignment="1" applyProtection="1">
      <alignment horizontal="left" vertical="center" wrapText="1" indent="2"/>
      <protection locked="0"/>
    </xf>
    <xf numFmtId="0" fontId="0" fillId="14" borderId="49" xfId="0" applyFill="1" applyBorder="1" applyAlignment="1" applyProtection="1">
      <alignment horizontal="left" vertical="center" wrapText="1" indent="2"/>
      <protection locked="0"/>
    </xf>
    <xf numFmtId="0" fontId="0" fillId="9" borderId="21" xfId="0" applyFill="1" applyBorder="1" applyAlignment="1" applyProtection="1">
      <alignment horizontal="left" vertical="center" wrapText="1"/>
      <protection locked="0"/>
    </xf>
    <xf numFmtId="0" fontId="0" fillId="14" borderId="18" xfId="0" applyFill="1" applyBorder="1" applyAlignment="1" applyProtection="1">
      <alignment horizontal="center" vertical="top" wrapText="1"/>
      <protection locked="0"/>
    </xf>
    <xf numFmtId="0" fontId="0" fillId="14" borderId="23" xfId="0" applyFill="1" applyBorder="1" applyAlignment="1" applyProtection="1">
      <alignment horizontal="center" vertical="top" wrapText="1"/>
      <protection locked="0"/>
    </xf>
    <xf numFmtId="0" fontId="0" fillId="14" borderId="35" xfId="0" applyFill="1" applyBorder="1" applyAlignment="1" applyProtection="1">
      <alignment horizontal="center" vertical="top" wrapText="1"/>
      <protection locked="0"/>
    </xf>
    <xf numFmtId="0" fontId="0" fillId="14" borderId="46" xfId="0" applyFill="1" applyBorder="1" applyAlignment="1" applyProtection="1">
      <alignment horizontal="center" vertical="top" wrapText="1"/>
      <protection locked="0"/>
    </xf>
    <xf numFmtId="0" fontId="0" fillId="14" borderId="23" xfId="0" applyFill="1" applyBorder="1" applyAlignment="1" applyProtection="1">
      <alignment horizontal="left" vertical="center" wrapText="1"/>
      <protection locked="0"/>
    </xf>
    <xf numFmtId="0" fontId="0" fillId="14" borderId="35" xfId="0" applyFill="1" applyBorder="1" applyAlignment="1" applyProtection="1">
      <alignment horizontal="left" vertical="center" wrapText="1"/>
      <protection locked="0"/>
    </xf>
    <xf numFmtId="0" fontId="0" fillId="14" borderId="46" xfId="0" applyFill="1" applyBorder="1" applyAlignment="1" applyProtection="1">
      <alignment horizontal="left" vertical="center" wrapText="1"/>
      <protection locked="0"/>
    </xf>
    <xf numFmtId="0" fontId="7" fillId="26" borderId="17" xfId="0" applyFont="1" applyFill="1" applyBorder="1" applyAlignment="1" applyProtection="1">
      <alignment horizontal="left" vertical="top" wrapText="1"/>
      <protection locked="0"/>
    </xf>
    <xf numFmtId="0" fontId="94" fillId="26" borderId="15" xfId="0" applyFont="1" applyFill="1" applyBorder="1" applyAlignment="1" applyProtection="1">
      <alignment horizontal="left" vertical="top" wrapText="1"/>
      <protection locked="0"/>
    </xf>
    <xf numFmtId="0" fontId="94" fillId="26" borderId="20" xfId="0" applyFont="1" applyFill="1" applyBorder="1" applyAlignment="1" applyProtection="1">
      <alignment horizontal="left" vertical="top" wrapText="1"/>
      <protection locked="0"/>
    </xf>
    <xf numFmtId="168" fontId="14" fillId="13" borderId="18" xfId="0" applyNumberFormat="1" applyFont="1" applyFill="1" applyBorder="1" applyAlignment="1" applyProtection="1">
      <alignment horizontal="right" vertical="center" wrapText="1"/>
      <protection locked="0"/>
    </xf>
    <xf numFmtId="168" fontId="14" fillId="13" borderId="14" xfId="0" applyNumberFormat="1" applyFont="1" applyFill="1" applyBorder="1" applyAlignment="1" applyProtection="1">
      <alignment horizontal="right" vertical="center" wrapText="1"/>
      <protection locked="0"/>
    </xf>
    <xf numFmtId="0" fontId="0" fillId="14" borderId="21" xfId="0" applyFill="1" applyBorder="1" applyAlignment="1" applyProtection="1">
      <alignment horizontal="center" vertical="center" wrapText="1"/>
      <protection locked="0"/>
    </xf>
    <xf numFmtId="0" fontId="7" fillId="9" borderId="18" xfId="0" applyFont="1" applyFill="1" applyBorder="1" applyAlignment="1" applyProtection="1">
      <alignment horizontal="center" vertical="center" wrapText="1"/>
      <protection locked="0"/>
    </xf>
    <xf numFmtId="0" fontId="94" fillId="9" borderId="14" xfId="0" applyFont="1" applyFill="1" applyBorder="1" applyAlignment="1" applyProtection="1">
      <alignment horizontal="center" vertical="center" wrapText="1"/>
      <protection locked="0"/>
    </xf>
    <xf numFmtId="0" fontId="112" fillId="9" borderId="17" xfId="0" applyFont="1" applyFill="1" applyBorder="1" applyAlignment="1" applyProtection="1">
      <alignment horizontal="left" vertical="center" wrapText="1"/>
      <protection locked="0"/>
    </xf>
    <xf numFmtId="0" fontId="112" fillId="9" borderId="15" xfId="0" applyFont="1" applyFill="1" applyBorder="1" applyAlignment="1" applyProtection="1">
      <alignment horizontal="left" vertical="center" wrapText="1"/>
      <protection locked="0"/>
    </xf>
    <xf numFmtId="0" fontId="112" fillId="9" borderId="20" xfId="0" applyFont="1" applyFill="1" applyBorder="1" applyAlignment="1" applyProtection="1">
      <alignment horizontal="left" vertical="center" wrapText="1"/>
      <protection locked="0"/>
    </xf>
    <xf numFmtId="0" fontId="7" fillId="0" borderId="17" xfId="0" applyFont="1" applyBorder="1" applyAlignment="1" applyProtection="1">
      <alignment horizontal="center" vertical="center" wrapText="1"/>
      <protection locked="0"/>
    </xf>
    <xf numFmtId="0" fontId="94" fillId="0" borderId="15" xfId="0" applyFont="1" applyBorder="1" applyAlignment="1" applyProtection="1">
      <alignment horizontal="center" vertical="center" wrapText="1"/>
      <protection locked="0"/>
    </xf>
    <xf numFmtId="0" fontId="94" fillId="0" borderId="20" xfId="0" applyFont="1" applyBorder="1" applyAlignment="1" applyProtection="1">
      <alignment horizontal="center" vertical="center" wrapText="1"/>
      <protection locked="0"/>
    </xf>
    <xf numFmtId="0" fontId="13" fillId="0" borderId="0" xfId="0" applyFont="1" applyAlignment="1" applyProtection="1">
      <alignment horizontal="left" vertical="top" wrapText="1"/>
      <protection locked="0"/>
    </xf>
    <xf numFmtId="0" fontId="7" fillId="26" borderId="35" xfId="0" applyFont="1" applyFill="1" applyBorder="1" applyAlignment="1" applyProtection="1">
      <alignment horizontal="left" vertical="center" wrapText="1"/>
      <protection locked="0"/>
    </xf>
    <xf numFmtId="0" fontId="94" fillId="26" borderId="36" xfId="0" applyFont="1" applyFill="1" applyBorder="1" applyAlignment="1" applyProtection="1">
      <alignment horizontal="left" vertical="center" wrapText="1"/>
      <protection locked="0"/>
    </xf>
    <xf numFmtId="0" fontId="94" fillId="26" borderId="46" xfId="0" applyFont="1" applyFill="1" applyBorder="1" applyAlignment="1" applyProtection="1">
      <alignment horizontal="left" vertical="center" wrapText="1"/>
      <protection locked="0"/>
    </xf>
    <xf numFmtId="3" fontId="96" fillId="26" borderId="17" xfId="0" applyNumberFormat="1" applyFont="1" applyFill="1" applyBorder="1" applyAlignment="1" applyProtection="1">
      <alignment horizontal="left" vertical="center" wrapText="1"/>
      <protection locked="0"/>
    </xf>
    <xf numFmtId="3" fontId="96" fillId="26" borderId="15" xfId="0" applyNumberFormat="1" applyFont="1" applyFill="1" applyBorder="1" applyAlignment="1" applyProtection="1">
      <alignment horizontal="left" vertical="center" wrapText="1"/>
      <protection locked="0"/>
    </xf>
    <xf numFmtId="3" fontId="96" fillId="26" borderId="20" xfId="0" applyNumberFormat="1" applyFont="1" applyFill="1" applyBorder="1" applyAlignment="1" applyProtection="1">
      <alignment horizontal="left" vertical="center" wrapText="1"/>
      <protection locked="0"/>
    </xf>
    <xf numFmtId="0" fontId="0" fillId="13" borderId="18" xfId="0" applyFill="1" applyBorder="1" applyAlignment="1" applyProtection="1">
      <alignment horizontal="center" vertical="center" wrapText="1"/>
      <protection locked="0"/>
    </xf>
    <xf numFmtId="0" fontId="0" fillId="13" borderId="14" xfId="0" applyFill="1" applyBorder="1" applyAlignment="1" applyProtection="1">
      <alignment horizontal="center" vertical="center" wrapText="1"/>
      <protection locked="0"/>
    </xf>
    <xf numFmtId="0" fontId="0" fillId="0" borderId="0" xfId="0" applyAlignment="1" applyProtection="1">
      <alignment horizontal="left" wrapText="1"/>
      <protection locked="0"/>
    </xf>
    <xf numFmtId="0" fontId="0" fillId="14" borderId="19" xfId="0" applyFill="1" applyBorder="1" applyAlignment="1" applyProtection="1">
      <alignment horizontal="center" vertical="center" wrapText="1"/>
      <protection locked="0"/>
    </xf>
    <xf numFmtId="0" fontId="0" fillId="14" borderId="54" xfId="0" applyFill="1" applyBorder="1" applyAlignment="1" applyProtection="1">
      <alignment horizontal="center" vertical="center" wrapText="1"/>
      <protection locked="0"/>
    </xf>
    <xf numFmtId="0" fontId="3" fillId="26" borderId="17" xfId="0" applyFont="1" applyFill="1" applyBorder="1" applyAlignment="1" applyProtection="1">
      <alignment horizontal="left" vertical="top" wrapText="1"/>
      <protection locked="0"/>
    </xf>
    <xf numFmtId="0" fontId="3" fillId="26" borderId="15" xfId="0" applyFont="1" applyFill="1" applyBorder="1" applyAlignment="1" applyProtection="1">
      <alignment horizontal="left" vertical="top" wrapText="1"/>
      <protection locked="0"/>
    </xf>
    <xf numFmtId="0" fontId="3" fillId="26" borderId="20" xfId="0" applyFont="1" applyFill="1" applyBorder="1" applyAlignment="1" applyProtection="1">
      <alignment horizontal="left" vertical="top" wrapText="1"/>
      <protection locked="0"/>
    </xf>
    <xf numFmtId="0" fontId="0" fillId="13" borderId="16" xfId="0" applyFill="1" applyBorder="1" applyAlignment="1" applyProtection="1">
      <alignment horizontal="center" vertical="center" wrapText="1"/>
      <protection locked="0"/>
    </xf>
    <xf numFmtId="0" fontId="99" fillId="9" borderId="18" xfId="0" applyFont="1" applyFill="1" applyBorder="1" applyAlignment="1" applyProtection="1">
      <alignment horizontal="left" vertical="center" wrapText="1"/>
      <protection locked="0"/>
    </xf>
    <xf numFmtId="0" fontId="99" fillId="9" borderId="14" xfId="0" applyFont="1" applyFill="1" applyBorder="1" applyAlignment="1" applyProtection="1">
      <alignment horizontal="left" vertical="center" wrapText="1"/>
      <protection locked="0"/>
    </xf>
    <xf numFmtId="0" fontId="0" fillId="26" borderId="18" xfId="0" applyFill="1" applyBorder="1" applyAlignment="1" applyProtection="1">
      <alignment horizontal="center" vertical="center" wrapText="1"/>
      <protection locked="0"/>
    </xf>
    <xf numFmtId="0" fontId="0" fillId="26" borderId="14" xfId="0" applyFill="1" applyBorder="1" applyAlignment="1" applyProtection="1">
      <alignment horizontal="center" vertical="center" wrapText="1"/>
      <protection locked="0"/>
    </xf>
    <xf numFmtId="0" fontId="0" fillId="26" borderId="21" xfId="0" applyFill="1" applyBorder="1" applyAlignment="1" applyProtection="1">
      <alignment horizontal="center" vertical="center" wrapText="1"/>
      <protection locked="0"/>
    </xf>
    <xf numFmtId="0" fontId="4" fillId="0" borderId="0" xfId="0" applyFont="1" applyAlignment="1" applyProtection="1">
      <alignment horizontal="left" wrapText="1"/>
      <protection locked="0"/>
    </xf>
    <xf numFmtId="0" fontId="0" fillId="0" borderId="0" xfId="0" applyAlignment="1" applyProtection="1">
      <alignment horizontal="left" vertical="top" wrapText="1" indent="3"/>
      <protection locked="0"/>
    </xf>
    <xf numFmtId="49" fontId="8" fillId="9" borderId="15" xfId="0" applyNumberFormat="1" applyFont="1" applyFill="1" applyBorder="1" applyAlignment="1" applyProtection="1">
      <alignment horizontal="left" vertical="top" wrapText="1"/>
      <protection locked="0"/>
    </xf>
    <xf numFmtId="49" fontId="8" fillId="9" borderId="20" xfId="0" applyNumberFormat="1" applyFont="1" applyFill="1" applyBorder="1" applyAlignment="1" applyProtection="1">
      <alignment horizontal="left" vertical="top" wrapText="1"/>
      <protection locked="0"/>
    </xf>
    <xf numFmtId="0" fontId="32" fillId="13" borderId="15" xfId="0" applyFont="1" applyFill="1" applyBorder="1" applyAlignment="1" applyProtection="1">
      <alignment horizontal="center" vertical="top"/>
      <protection locked="0"/>
    </xf>
    <xf numFmtId="0" fontId="32" fillId="13" borderId="20" xfId="0" applyFont="1" applyFill="1" applyBorder="1" applyAlignment="1" applyProtection="1">
      <alignment horizontal="center" vertical="top"/>
      <protection locked="0"/>
    </xf>
    <xf numFmtId="49" fontId="103" fillId="9" borderId="15" xfId="0" applyNumberFormat="1" applyFont="1" applyFill="1" applyBorder="1" applyAlignment="1" applyProtection="1">
      <alignment horizontal="left" vertical="top" wrapText="1"/>
      <protection locked="0"/>
    </xf>
    <xf numFmtId="49" fontId="103" fillId="9" borderId="20" xfId="0" applyNumberFormat="1" applyFont="1" applyFill="1" applyBorder="1" applyAlignment="1" applyProtection="1">
      <alignment horizontal="left" vertical="top" wrapText="1"/>
      <protection locked="0"/>
    </xf>
    <xf numFmtId="0" fontId="116" fillId="24" borderId="17" xfId="1" applyFont="1" applyFill="1" applyBorder="1" applyAlignment="1" applyProtection="1">
      <alignment horizontal="left" vertical="center" wrapText="1"/>
      <protection locked="0"/>
    </xf>
    <xf numFmtId="0" fontId="116" fillId="24" borderId="15" xfId="1" applyFont="1" applyFill="1" applyBorder="1" applyAlignment="1" applyProtection="1">
      <alignment horizontal="left" vertical="center" wrapText="1"/>
      <protection locked="0"/>
    </xf>
    <xf numFmtId="0" fontId="116" fillId="24" borderId="20" xfId="1" applyFont="1" applyFill="1" applyBorder="1" applyAlignment="1" applyProtection="1">
      <alignment horizontal="left" vertical="center" wrapText="1"/>
      <protection locked="0"/>
    </xf>
    <xf numFmtId="0" fontId="10" fillId="2" borderId="18" xfId="0" applyFont="1" applyFill="1" applyBorder="1" applyAlignment="1" applyProtection="1">
      <alignment horizontal="center" vertical="center"/>
      <protection locked="0"/>
    </xf>
    <xf numFmtId="0" fontId="10" fillId="2" borderId="21" xfId="0" applyFont="1" applyFill="1" applyBorder="1" applyAlignment="1" applyProtection="1">
      <alignment horizontal="center" vertical="center"/>
      <protection locked="0"/>
    </xf>
    <xf numFmtId="0" fontId="92" fillId="0" borderId="18" xfId="1" applyFont="1" applyFill="1" applyBorder="1" applyAlignment="1" applyProtection="1">
      <alignment horizontal="left" vertical="center" wrapText="1"/>
      <protection locked="0"/>
    </xf>
    <xf numFmtId="0" fontId="92" fillId="0" borderId="14" xfId="1" applyFont="1" applyFill="1" applyBorder="1" applyAlignment="1" applyProtection="1">
      <alignment horizontal="left" vertical="center" wrapText="1"/>
      <protection locked="0"/>
    </xf>
    <xf numFmtId="0" fontId="10" fillId="9" borderId="18" xfId="0" applyFont="1" applyFill="1" applyBorder="1" applyAlignment="1" applyProtection="1">
      <alignment horizontal="center" vertical="center" wrapText="1"/>
      <protection locked="0"/>
    </xf>
    <xf numFmtId="0" fontId="10" fillId="9" borderId="21" xfId="0" applyFont="1" applyFill="1" applyBorder="1" applyAlignment="1" applyProtection="1">
      <alignment horizontal="center" vertical="center" wrapText="1"/>
      <protection locked="0"/>
    </xf>
    <xf numFmtId="0" fontId="117" fillId="24" borderId="17" xfId="1" applyFont="1" applyFill="1" applyBorder="1" applyAlignment="1" applyProtection="1">
      <alignment horizontal="left" vertical="top" wrapText="1"/>
      <protection locked="0"/>
    </xf>
    <xf numFmtId="0" fontId="117" fillId="24" borderId="15" xfId="1" applyFont="1" applyFill="1" applyBorder="1" applyAlignment="1" applyProtection="1">
      <alignment horizontal="left" vertical="top" wrapText="1"/>
      <protection locked="0"/>
    </xf>
    <xf numFmtId="0" fontId="117" fillId="24" borderId="20" xfId="1" applyFont="1" applyFill="1" applyBorder="1" applyAlignment="1" applyProtection="1">
      <alignment horizontal="left" vertical="top" wrapText="1"/>
      <protection locked="0"/>
    </xf>
    <xf numFmtId="0" fontId="58" fillId="9" borderId="18" xfId="1" applyFont="1" applyFill="1" applyBorder="1" applyAlignment="1" applyProtection="1">
      <alignment horizontal="left" vertical="top" wrapText="1"/>
      <protection locked="0"/>
    </xf>
    <xf numFmtId="0" fontId="58" fillId="9" borderId="14" xfId="1" applyFont="1" applyFill="1" applyBorder="1" applyAlignment="1" applyProtection="1">
      <alignment horizontal="left" vertical="top" wrapText="1"/>
      <protection locked="0"/>
    </xf>
    <xf numFmtId="0" fontId="10" fillId="14" borderId="14" xfId="0" applyFont="1" applyFill="1" applyBorder="1" applyAlignment="1" applyProtection="1">
      <alignment horizontal="left" vertical="center" wrapText="1"/>
      <protection locked="0"/>
    </xf>
    <xf numFmtId="0" fontId="8" fillId="8" borderId="17" xfId="0" applyFont="1" applyFill="1" applyBorder="1" applyAlignment="1" applyProtection="1">
      <alignment horizontal="left" vertical="center" wrapText="1"/>
      <protection locked="0"/>
    </xf>
    <xf numFmtId="0" fontId="8" fillId="8" borderId="20" xfId="0" applyFont="1" applyFill="1" applyBorder="1" applyAlignment="1" applyProtection="1">
      <alignment horizontal="left" vertical="center" wrapText="1"/>
      <protection locked="0"/>
    </xf>
    <xf numFmtId="0" fontId="0" fillId="14" borderId="16" xfId="0" applyFill="1" applyBorder="1" applyAlignment="1" applyProtection="1">
      <alignment horizontal="center" vertical="center" wrapText="1"/>
      <protection locked="0"/>
    </xf>
    <xf numFmtId="0" fontId="0" fillId="14" borderId="16" xfId="0" applyFill="1" applyBorder="1" applyAlignment="1" applyProtection="1">
      <alignment horizontal="center"/>
      <protection locked="0"/>
    </xf>
    <xf numFmtId="0" fontId="97" fillId="9" borderId="17" xfId="0" applyFont="1" applyFill="1" applyBorder="1" applyAlignment="1" applyProtection="1">
      <alignment horizontal="left" vertical="top" wrapText="1"/>
      <protection locked="0"/>
    </xf>
    <xf numFmtId="0" fontId="5" fillId="9" borderId="15" xfId="0" applyFont="1" applyFill="1" applyBorder="1" applyAlignment="1" applyProtection="1">
      <alignment horizontal="left" vertical="top"/>
      <protection locked="0"/>
    </xf>
    <xf numFmtId="0" fontId="5" fillId="9" borderId="20" xfId="0" applyFont="1" applyFill="1" applyBorder="1" applyAlignment="1" applyProtection="1">
      <alignment horizontal="left" vertical="top"/>
      <protection locked="0"/>
    </xf>
    <xf numFmtId="0" fontId="0" fillId="14" borderId="14" xfId="0" applyFill="1" applyBorder="1" applyProtection="1">
      <protection locked="0"/>
    </xf>
    <xf numFmtId="0" fontId="0" fillId="28" borderId="16" xfId="0" applyFill="1" applyBorder="1" applyAlignment="1" applyProtection="1">
      <alignment horizontal="center" vertical="center" wrapText="1"/>
      <protection locked="0"/>
    </xf>
    <xf numFmtId="0" fontId="25" fillId="14" borderId="16" xfId="0" applyFont="1" applyFill="1" applyBorder="1" applyAlignment="1" applyProtection="1">
      <alignment horizontal="center"/>
      <protection locked="0"/>
    </xf>
    <xf numFmtId="0" fontId="0" fillId="9" borderId="34" xfId="0" applyFill="1" applyBorder="1" applyAlignment="1" applyProtection="1">
      <alignment horizontal="left" vertical="top" wrapText="1"/>
      <protection locked="0"/>
    </xf>
    <xf numFmtId="0" fontId="0" fillId="9" borderId="50" xfId="0" applyFill="1" applyBorder="1" applyAlignment="1" applyProtection="1">
      <alignment horizontal="left" vertical="top" wrapText="1"/>
      <protection locked="0"/>
    </xf>
    <xf numFmtId="0" fontId="0" fillId="9" borderId="51" xfId="0" applyFill="1" applyBorder="1" applyAlignment="1" applyProtection="1">
      <alignment horizontal="left" vertical="top" wrapText="1"/>
      <protection locked="0"/>
    </xf>
    <xf numFmtId="0" fontId="14" fillId="2" borderId="25" xfId="0" applyFont="1" applyFill="1" applyBorder="1" applyAlignment="1" applyProtection="1">
      <alignment horizontal="left" vertical="center" wrapText="1"/>
      <protection locked="0"/>
    </xf>
    <xf numFmtId="0" fontId="14" fillId="2" borderId="26" xfId="0" applyFont="1" applyFill="1" applyBorder="1" applyAlignment="1" applyProtection="1">
      <alignment horizontal="left" vertical="center" wrapText="1"/>
      <protection locked="0"/>
    </xf>
    <xf numFmtId="0" fontId="0" fillId="9" borderId="16" xfId="0" applyFill="1" applyBorder="1" applyAlignment="1" applyProtection="1">
      <alignment horizontal="left" vertical="top" wrapText="1"/>
      <protection locked="0"/>
    </xf>
    <xf numFmtId="0" fontId="0" fillId="14" borderId="27" xfId="0" applyFill="1" applyBorder="1" applyAlignment="1" applyProtection="1">
      <alignment horizontal="left" vertical="center" wrapText="1"/>
      <protection locked="0"/>
    </xf>
    <xf numFmtId="0" fontId="13" fillId="9" borderId="17" xfId="0" applyFont="1" applyFill="1" applyBorder="1" applyAlignment="1" applyProtection="1">
      <alignment horizontal="left" vertical="top" wrapText="1"/>
      <protection locked="0"/>
    </xf>
    <xf numFmtId="0" fontId="13" fillId="9" borderId="15" xfId="0" applyFont="1" applyFill="1" applyBorder="1" applyAlignment="1" applyProtection="1">
      <alignment horizontal="left" vertical="top" wrapText="1"/>
      <protection locked="0"/>
    </xf>
    <xf numFmtId="0" fontId="13" fillId="9" borderId="20" xfId="0" applyFont="1" applyFill="1" applyBorder="1" applyAlignment="1" applyProtection="1">
      <alignment horizontal="left" vertical="top" wrapText="1"/>
      <protection locked="0"/>
    </xf>
    <xf numFmtId="0" fontId="0" fillId="14" borderId="33" xfId="0" applyFill="1" applyBorder="1" applyAlignment="1" applyProtection="1">
      <alignment horizontal="left" vertical="center" wrapText="1"/>
      <protection locked="0"/>
    </xf>
    <xf numFmtId="0" fontId="0" fillId="14" borderId="34" xfId="0" applyFill="1" applyBorder="1" applyAlignment="1" applyProtection="1">
      <alignment horizontal="left" vertical="center" wrapText="1"/>
      <protection locked="0"/>
    </xf>
    <xf numFmtId="0" fontId="10" fillId="14" borderId="30" xfId="0" applyFont="1" applyFill="1" applyBorder="1" applyAlignment="1" applyProtection="1">
      <alignment horizontal="center" vertical="center" wrapText="1"/>
      <protection locked="0"/>
    </xf>
    <xf numFmtId="0" fontId="10" fillId="14" borderId="31" xfId="0" applyFont="1" applyFill="1" applyBorder="1" applyAlignment="1" applyProtection="1">
      <alignment horizontal="center" vertical="center" wrapText="1"/>
      <protection locked="0"/>
    </xf>
    <xf numFmtId="0" fontId="10" fillId="14" borderId="32" xfId="0" applyFont="1" applyFill="1" applyBorder="1" applyAlignment="1" applyProtection="1">
      <alignment horizontal="center" vertical="center" wrapText="1"/>
      <protection locked="0"/>
    </xf>
    <xf numFmtId="0" fontId="10" fillId="14" borderId="16" xfId="0" applyFont="1" applyFill="1" applyBorder="1" applyAlignment="1" applyProtection="1">
      <alignment horizontal="left" vertical="center" wrapText="1"/>
      <protection locked="0"/>
    </xf>
    <xf numFmtId="0" fontId="8" fillId="14" borderId="16" xfId="0" applyFont="1" applyFill="1" applyBorder="1" applyAlignment="1" applyProtection="1">
      <alignment horizontal="left" vertical="center" wrapText="1"/>
      <protection locked="0"/>
    </xf>
    <xf numFmtId="0" fontId="0" fillId="0" borderId="0" xfId="0" applyAlignment="1">
      <alignment horizontal="left" indent="7"/>
    </xf>
    <xf numFmtId="0" fontId="0" fillId="0" borderId="0" xfId="0" applyAlignment="1">
      <alignment horizontal="left" vertical="top" wrapText="1" indent="7"/>
    </xf>
    <xf numFmtId="0" fontId="0" fillId="0" borderId="0" xfId="0" applyAlignment="1">
      <alignment horizontal="left" wrapText="1" indent="7"/>
    </xf>
    <xf numFmtId="0" fontId="0" fillId="0" borderId="0" xfId="0" applyAlignment="1">
      <alignment horizontal="left" wrapText="1" indent="3"/>
    </xf>
    <xf numFmtId="0" fontId="0" fillId="0" borderId="0" xfId="0" applyAlignment="1">
      <alignment horizontal="left" vertical="top" indent="5"/>
    </xf>
    <xf numFmtId="0" fontId="0" fillId="0" borderId="0" xfId="0" applyAlignment="1">
      <alignment horizontal="left" vertical="top" wrapText="1" indent="5"/>
    </xf>
    <xf numFmtId="0" fontId="27" fillId="23" borderId="0" xfId="0" applyFont="1" applyFill="1" applyAlignment="1" applyProtection="1">
      <alignment horizontal="left" vertical="top" wrapText="1"/>
      <protection locked="0"/>
    </xf>
    <xf numFmtId="0" fontId="0" fillId="14" borderId="16" xfId="0" applyFill="1" applyBorder="1" applyAlignment="1">
      <alignment horizontal="left" vertical="center"/>
    </xf>
    <xf numFmtId="0" fontId="32" fillId="13" borderId="16" xfId="0" applyFont="1" applyFill="1" applyBorder="1" applyAlignment="1" applyProtection="1">
      <alignment horizontal="center" vertical="top"/>
      <protection locked="0"/>
    </xf>
    <xf numFmtId="0" fontId="0" fillId="14" borderId="55" xfId="0" applyFill="1" applyBorder="1" applyAlignment="1">
      <alignment horizontal="left"/>
    </xf>
    <xf numFmtId="0" fontId="0" fillId="14" borderId="56" xfId="0" applyFill="1" applyBorder="1" applyAlignment="1">
      <alignment horizontal="left"/>
    </xf>
    <xf numFmtId="0" fontId="0" fillId="14" borderId="57" xfId="0" applyFill="1" applyBorder="1" applyAlignment="1">
      <alignment horizontal="left"/>
    </xf>
    <xf numFmtId="0" fontId="0" fillId="9" borderId="55" xfId="0" applyFill="1" applyBorder="1" applyAlignment="1">
      <alignment horizontal="left" vertical="top"/>
    </xf>
    <xf numFmtId="0" fontId="0" fillId="9" borderId="56" xfId="0" applyFill="1" applyBorder="1" applyAlignment="1">
      <alignment horizontal="left" vertical="top"/>
    </xf>
    <xf numFmtId="0" fontId="0" fillId="9" borderId="57" xfId="0" applyFill="1" applyBorder="1" applyAlignment="1">
      <alignment horizontal="left" vertical="top"/>
    </xf>
    <xf numFmtId="0" fontId="28" fillId="9" borderId="55" xfId="0" applyFont="1" applyFill="1" applyBorder="1" applyAlignment="1">
      <alignment horizontal="left" vertical="top"/>
    </xf>
    <xf numFmtId="0" fontId="28" fillId="9" borderId="56" xfId="0" applyFont="1" applyFill="1" applyBorder="1" applyAlignment="1">
      <alignment horizontal="left" vertical="top"/>
    </xf>
    <xf numFmtId="0" fontId="28" fillId="9" borderId="57" xfId="0" applyFont="1" applyFill="1" applyBorder="1" applyAlignment="1">
      <alignment horizontal="left" vertical="top"/>
    </xf>
    <xf numFmtId="0" fontId="0" fillId="9" borderId="17" xfId="0" applyFill="1" applyBorder="1" applyAlignment="1">
      <alignment horizontal="left"/>
    </xf>
    <xf numFmtId="0" fontId="0" fillId="9" borderId="20" xfId="0" applyFill="1" applyBorder="1" applyAlignment="1">
      <alignment horizontal="left"/>
    </xf>
    <xf numFmtId="0" fontId="25" fillId="14" borderId="58" xfId="0" applyFont="1" applyFill="1" applyBorder="1" applyAlignment="1">
      <alignment horizontal="left" vertical="center"/>
    </xf>
    <xf numFmtId="0" fontId="25" fillId="14" borderId="59" xfId="0" applyFont="1" applyFill="1" applyBorder="1" applyAlignment="1">
      <alignment horizontal="left" vertical="center"/>
    </xf>
    <xf numFmtId="0" fontId="25" fillId="14" borderId="60" xfId="0" applyFont="1" applyFill="1" applyBorder="1" applyAlignment="1">
      <alignment horizontal="left" vertical="center"/>
    </xf>
    <xf numFmtId="0" fontId="25" fillId="14" borderId="61" xfId="0" applyFont="1" applyFill="1" applyBorder="1" applyAlignment="1">
      <alignment horizontal="left" vertical="center"/>
    </xf>
    <xf numFmtId="0" fontId="25" fillId="14" borderId="62" xfId="0" applyFont="1" applyFill="1" applyBorder="1" applyAlignment="1">
      <alignment horizontal="left" vertical="center"/>
    </xf>
    <xf numFmtId="0" fontId="25" fillId="14" borderId="63" xfId="0" applyFont="1" applyFill="1" applyBorder="1" applyAlignment="1">
      <alignment horizontal="left" vertical="center"/>
    </xf>
    <xf numFmtId="0" fontId="0" fillId="14" borderId="19" xfId="0" applyFill="1" applyBorder="1" applyAlignment="1">
      <alignment horizontal="left" vertical="center"/>
    </xf>
    <xf numFmtId="0" fontId="0" fillId="14" borderId="54" xfId="0" applyFill="1" applyBorder="1" applyAlignment="1">
      <alignment horizontal="left" vertical="center"/>
    </xf>
    <xf numFmtId="0" fontId="0" fillId="14" borderId="17" xfId="0" applyFill="1" applyBorder="1" applyAlignment="1">
      <alignment horizontal="center"/>
    </xf>
    <xf numFmtId="0" fontId="0" fillId="14" borderId="20" xfId="0" applyFill="1" applyBorder="1" applyAlignment="1">
      <alignment horizontal="center"/>
    </xf>
    <xf numFmtId="10" fontId="28" fillId="9" borderId="17" xfId="3" applyNumberFormat="1" applyFont="1" applyFill="1" applyBorder="1" applyAlignment="1">
      <alignment horizontal="center"/>
    </xf>
    <xf numFmtId="10" fontId="28" fillId="9" borderId="20" xfId="3" applyNumberFormat="1" applyFont="1" applyFill="1" applyBorder="1" applyAlignment="1">
      <alignment horizontal="center"/>
    </xf>
    <xf numFmtId="0" fontId="0" fillId="14" borderId="17" xfId="0" applyFill="1" applyBorder="1" applyAlignment="1">
      <alignment horizontal="left" indent="2"/>
    </xf>
    <xf numFmtId="0" fontId="0" fillId="14" borderId="15" xfId="0" applyFill="1" applyBorder="1" applyAlignment="1">
      <alignment horizontal="left" indent="2"/>
    </xf>
    <xf numFmtId="0" fontId="0" fillId="14" borderId="20" xfId="0" applyFill="1" applyBorder="1" applyAlignment="1">
      <alignment horizontal="left" indent="2"/>
    </xf>
    <xf numFmtId="0" fontId="28" fillId="9" borderId="17" xfId="0" applyFont="1" applyFill="1" applyBorder="1" applyAlignment="1">
      <alignment horizontal="left"/>
    </xf>
    <xf numFmtId="0" fontId="28" fillId="9" borderId="15" xfId="0" applyFont="1" applyFill="1" applyBorder="1" applyAlignment="1">
      <alignment horizontal="left"/>
    </xf>
    <xf numFmtId="0" fontId="28" fillId="9" borderId="20" xfId="0" applyFont="1" applyFill="1" applyBorder="1" applyAlignment="1">
      <alignment horizontal="left"/>
    </xf>
    <xf numFmtId="0" fontId="25" fillId="14" borderId="17" xfId="0" applyFont="1" applyFill="1" applyBorder="1" applyAlignment="1">
      <alignment horizontal="left"/>
    </xf>
    <xf numFmtId="0" fontId="25" fillId="14" borderId="15" xfId="0" applyFont="1" applyFill="1" applyBorder="1" applyAlignment="1">
      <alignment horizontal="left"/>
    </xf>
    <xf numFmtId="0" fontId="25" fillId="14" borderId="20" xfId="0" applyFont="1" applyFill="1" applyBorder="1" applyAlignment="1">
      <alignment horizontal="left"/>
    </xf>
    <xf numFmtId="0" fontId="32" fillId="9" borderId="16" xfId="0" applyFont="1" applyFill="1" applyBorder="1" applyAlignment="1" applyProtection="1">
      <alignment horizontal="center" vertical="top"/>
      <protection locked="0"/>
    </xf>
    <xf numFmtId="0" fontId="0" fillId="9" borderId="55" xfId="0" applyFill="1" applyBorder="1" applyAlignment="1">
      <alignment horizontal="left" vertical="top" wrapText="1"/>
    </xf>
    <xf numFmtId="0" fontId="0" fillId="9" borderId="56" xfId="0" applyFill="1" applyBorder="1" applyAlignment="1">
      <alignment horizontal="left" vertical="top" wrapText="1"/>
    </xf>
    <xf numFmtId="0" fontId="0" fillId="9" borderId="57" xfId="0" applyFill="1" applyBorder="1" applyAlignment="1">
      <alignment horizontal="left" vertical="top" wrapText="1"/>
    </xf>
    <xf numFmtId="10" fontId="0" fillId="9" borderId="17" xfId="3" applyNumberFormat="1" applyFont="1" applyFill="1" applyBorder="1" applyAlignment="1">
      <alignment horizontal="center"/>
    </xf>
    <xf numFmtId="10" fontId="0" fillId="9" borderId="20" xfId="3" applyNumberFormat="1" applyFont="1" applyFill="1" applyBorder="1" applyAlignment="1">
      <alignment horizontal="center"/>
    </xf>
    <xf numFmtId="0" fontId="0" fillId="10" borderId="17" xfId="0" applyFill="1" applyBorder="1" applyAlignment="1">
      <alignment horizontal="left"/>
    </xf>
    <xf numFmtId="0" fontId="0" fillId="10" borderId="15" xfId="0" applyFill="1" applyBorder="1" applyAlignment="1">
      <alignment horizontal="left"/>
    </xf>
    <xf numFmtId="0" fontId="0" fillId="10" borderId="20" xfId="0" applyFill="1" applyBorder="1" applyAlignment="1">
      <alignment horizontal="left"/>
    </xf>
    <xf numFmtId="0" fontId="3" fillId="13" borderId="17" xfId="0" applyFont="1" applyFill="1" applyBorder="1" applyAlignment="1">
      <alignment horizontal="left" vertical="top" wrapText="1"/>
    </xf>
    <xf numFmtId="0" fontId="7" fillId="13" borderId="15" xfId="0" applyFont="1" applyFill="1" applyBorder="1" applyAlignment="1">
      <alignment horizontal="left" vertical="top" wrapText="1"/>
    </xf>
    <xf numFmtId="0" fontId="7" fillId="13" borderId="20" xfId="0" applyFont="1" applyFill="1" applyBorder="1" applyAlignment="1">
      <alignment horizontal="left" vertical="top" wrapText="1"/>
    </xf>
    <xf numFmtId="0" fontId="3" fillId="13" borderId="17" xfId="0" applyFont="1" applyFill="1" applyBorder="1" applyAlignment="1">
      <alignment horizontal="left" vertical="center" wrapText="1"/>
    </xf>
    <xf numFmtId="0" fontId="3" fillId="13" borderId="15" xfId="0" applyFont="1" applyFill="1" applyBorder="1" applyAlignment="1">
      <alignment horizontal="left" vertical="center" wrapText="1"/>
    </xf>
    <xf numFmtId="0" fontId="3" fillId="13" borderId="20" xfId="0" applyFont="1" applyFill="1" applyBorder="1" applyAlignment="1">
      <alignment horizontal="left" vertical="center" wrapText="1"/>
    </xf>
    <xf numFmtId="0" fontId="25" fillId="0" borderId="0" xfId="0" applyFont="1" applyAlignment="1">
      <alignment horizontal="left" wrapText="1"/>
    </xf>
    <xf numFmtId="0" fontId="0" fillId="9" borderId="17" xfId="0" applyFill="1" applyBorder="1" applyAlignment="1">
      <alignment horizontal="center"/>
    </xf>
    <xf numFmtId="0" fontId="0" fillId="9" borderId="15" xfId="0" applyFill="1" applyBorder="1" applyAlignment="1">
      <alignment horizontal="center"/>
    </xf>
    <xf numFmtId="0" fontId="0" fillId="9" borderId="20" xfId="0" applyFill="1" applyBorder="1" applyAlignment="1">
      <alignment horizontal="center"/>
    </xf>
    <xf numFmtId="0" fontId="0" fillId="0" borderId="17" xfId="0" applyBorder="1" applyAlignment="1">
      <alignment horizontal="center"/>
    </xf>
    <xf numFmtId="0" fontId="0" fillId="0" borderId="15" xfId="0" applyBorder="1" applyAlignment="1">
      <alignment horizontal="center"/>
    </xf>
    <xf numFmtId="0" fontId="0" fillId="0" borderId="20" xfId="0" applyBorder="1" applyAlignment="1">
      <alignment horizontal="center"/>
    </xf>
    <xf numFmtId="0" fontId="112" fillId="13" borderId="17" xfId="0" applyFont="1" applyFill="1" applyBorder="1" applyAlignment="1">
      <alignment horizontal="left" vertical="top" wrapText="1"/>
    </xf>
    <xf numFmtId="0" fontId="112" fillId="13" borderId="15" xfId="0" applyFont="1" applyFill="1" applyBorder="1" applyAlignment="1">
      <alignment horizontal="left" vertical="top"/>
    </xf>
    <xf numFmtId="0" fontId="112" fillId="13" borderId="20" xfId="0" applyFont="1" applyFill="1" applyBorder="1" applyAlignment="1">
      <alignment horizontal="left" vertical="top"/>
    </xf>
    <xf numFmtId="0" fontId="0" fillId="9" borderId="17" xfId="0" applyFill="1" applyBorder="1" applyAlignment="1">
      <alignment horizontal="left" vertical="top"/>
    </xf>
    <xf numFmtId="0" fontId="0" fillId="9" borderId="15" xfId="0" applyFill="1" applyBorder="1" applyAlignment="1">
      <alignment horizontal="left" vertical="top"/>
    </xf>
    <xf numFmtId="0" fontId="0" fillId="9" borderId="20" xfId="0" applyFill="1" applyBorder="1" applyAlignment="1">
      <alignment horizontal="left" vertical="top"/>
    </xf>
    <xf numFmtId="0" fontId="0" fillId="14" borderId="15" xfId="0" applyFill="1" applyBorder="1" applyAlignment="1">
      <alignment horizontal="center"/>
    </xf>
    <xf numFmtId="0" fontId="0" fillId="14" borderId="17" xfId="0" applyFill="1" applyBorder="1" applyAlignment="1">
      <alignment horizontal="left"/>
    </xf>
    <xf numFmtId="0" fontId="0" fillId="14" borderId="15" xfId="0" applyFill="1" applyBorder="1" applyAlignment="1">
      <alignment horizontal="left"/>
    </xf>
    <xf numFmtId="0" fontId="0" fillId="14" borderId="20" xfId="0" applyFill="1" applyBorder="1" applyAlignment="1">
      <alignment horizontal="left"/>
    </xf>
    <xf numFmtId="0" fontId="25" fillId="14" borderId="17" xfId="0" applyFont="1" applyFill="1" applyBorder="1" applyAlignment="1">
      <alignment horizontal="center"/>
    </xf>
    <xf numFmtId="0" fontId="25" fillId="14" borderId="20" xfId="0" applyFont="1" applyFill="1" applyBorder="1" applyAlignment="1">
      <alignment horizontal="center"/>
    </xf>
    <xf numFmtId="176" fontId="25" fillId="10" borderId="17" xfId="0" applyNumberFormat="1" applyFont="1" applyFill="1" applyBorder="1" applyAlignment="1">
      <alignment horizontal="right"/>
    </xf>
    <xf numFmtId="176" fontId="25" fillId="10" borderId="20" xfId="0" applyNumberFormat="1" applyFont="1" applyFill="1" applyBorder="1" applyAlignment="1">
      <alignment horizontal="right"/>
    </xf>
    <xf numFmtId="3" fontId="0" fillId="9" borderId="17" xfId="0" applyNumberFormat="1" applyFill="1" applyBorder="1" applyAlignment="1">
      <alignment horizontal="right" vertical="center"/>
    </xf>
    <xf numFmtId="3" fontId="0" fillId="9" borderId="20" xfId="0" applyNumberFormat="1" applyFill="1" applyBorder="1" applyAlignment="1">
      <alignment horizontal="right" vertical="center"/>
    </xf>
    <xf numFmtId="0" fontId="0" fillId="14" borderId="16" xfId="0" applyFill="1" applyBorder="1" applyAlignment="1">
      <alignment horizontal="center"/>
    </xf>
    <xf numFmtId="176" fontId="0" fillId="10" borderId="17" xfId="0" applyNumberFormat="1" applyFill="1" applyBorder="1" applyAlignment="1">
      <alignment horizontal="right" vertical="center"/>
    </xf>
    <xf numFmtId="176" fontId="0" fillId="10" borderId="20" xfId="0" applyNumberFormat="1" applyFill="1" applyBorder="1" applyAlignment="1">
      <alignment horizontal="right" vertical="center"/>
    </xf>
    <xf numFmtId="0" fontId="90" fillId="0" borderId="0" xfId="0" applyFont="1" applyAlignment="1" applyProtection="1">
      <alignment horizontal="center" wrapText="1"/>
      <protection locked="0"/>
    </xf>
    <xf numFmtId="0" fontId="0" fillId="14" borderId="17" xfId="0" applyFill="1" applyBorder="1" applyAlignment="1" applyProtection="1">
      <alignment horizontal="left" vertical="center"/>
      <protection locked="0"/>
    </xf>
    <xf numFmtId="0" fontId="0" fillId="14" borderId="20" xfId="0" applyFill="1" applyBorder="1" applyAlignment="1" applyProtection="1">
      <alignment horizontal="left" vertical="center"/>
      <protection locked="0"/>
    </xf>
    <xf numFmtId="0" fontId="0" fillId="14" borderId="14" xfId="0" applyFill="1" applyBorder="1" applyAlignment="1" applyProtection="1">
      <alignment horizontal="left" vertical="center"/>
      <protection locked="0"/>
    </xf>
    <xf numFmtId="0" fontId="0" fillId="9" borderId="18" xfId="0" applyFill="1" applyBorder="1" applyAlignment="1" applyProtection="1">
      <alignment horizontal="left" vertical="top" wrapText="1"/>
      <protection locked="0"/>
    </xf>
    <xf numFmtId="0" fontId="0" fillId="13" borderId="17" xfId="0" applyFill="1" applyBorder="1" applyAlignment="1" applyProtection="1">
      <alignment horizontal="left" vertical="top" wrapText="1"/>
      <protection locked="0"/>
    </xf>
    <xf numFmtId="0" fontId="0" fillId="13" borderId="15" xfId="0" applyFill="1" applyBorder="1" applyAlignment="1" applyProtection="1">
      <alignment horizontal="left" vertical="top" wrapText="1"/>
      <protection locked="0"/>
    </xf>
    <xf numFmtId="0" fontId="0" fillId="13" borderId="20" xfId="0" applyFill="1" applyBorder="1" applyAlignment="1" applyProtection="1">
      <alignment horizontal="left" vertical="top" wrapText="1"/>
      <protection locked="0"/>
    </xf>
    <xf numFmtId="0" fontId="25" fillId="14" borderId="18" xfId="0" applyFont="1" applyFill="1" applyBorder="1" applyAlignment="1" applyProtection="1">
      <alignment horizontal="left" vertical="center"/>
      <protection locked="0"/>
    </xf>
    <xf numFmtId="0" fontId="25" fillId="14" borderId="14" xfId="0" applyFont="1" applyFill="1" applyBorder="1" applyAlignment="1" applyProtection="1">
      <alignment horizontal="left" vertical="center"/>
      <protection locked="0"/>
    </xf>
    <xf numFmtId="0" fontId="0" fillId="13" borderId="18" xfId="0" applyFill="1" applyBorder="1" applyAlignment="1" applyProtection="1">
      <alignment horizontal="left" vertical="top" wrapText="1"/>
      <protection locked="0"/>
    </xf>
    <xf numFmtId="0" fontId="0" fillId="13" borderId="14" xfId="0" applyFill="1" applyBorder="1" applyAlignment="1" applyProtection="1">
      <alignment horizontal="left" vertical="top" wrapText="1"/>
      <protection locked="0"/>
    </xf>
    <xf numFmtId="0" fontId="0" fillId="14" borderId="15" xfId="0" applyFill="1" applyBorder="1" applyAlignment="1" applyProtection="1">
      <alignment horizontal="left" vertical="center"/>
      <protection locked="0"/>
    </xf>
    <xf numFmtId="0" fontId="25" fillId="9" borderId="18" xfId="0" applyFont="1" applyFill="1" applyBorder="1" applyAlignment="1" applyProtection="1">
      <alignment horizontal="left" vertical="center"/>
      <protection locked="0"/>
    </xf>
    <xf numFmtId="0" fontId="25" fillId="9" borderId="14" xfId="0" applyFont="1" applyFill="1" applyBorder="1" applyAlignment="1" applyProtection="1">
      <alignment horizontal="left" vertical="center"/>
      <protection locked="0"/>
    </xf>
    <xf numFmtId="49" fontId="78" fillId="2" borderId="18" xfId="0" applyNumberFormat="1" applyFont="1" applyFill="1" applyBorder="1" applyAlignment="1" applyProtection="1">
      <alignment horizontal="left" vertical="center" wrapText="1"/>
      <protection locked="0"/>
    </xf>
    <xf numFmtId="0" fontId="78" fillId="2" borderId="14" xfId="0" applyFont="1" applyFill="1" applyBorder="1" applyAlignment="1" applyProtection="1">
      <alignment horizontal="left" vertical="center" wrapText="1"/>
      <protection locked="0"/>
    </xf>
    <xf numFmtId="0" fontId="0" fillId="14" borderId="18" xfId="0" applyFill="1" applyBorder="1" applyAlignment="1" applyProtection="1">
      <alignment horizontal="left" vertical="center" indent="2"/>
      <protection locked="0"/>
    </xf>
    <xf numFmtId="0" fontId="0" fillId="14" borderId="14" xfId="0" applyFill="1" applyBorder="1" applyAlignment="1" applyProtection="1">
      <alignment horizontal="left" vertical="center" indent="2"/>
      <protection locked="0"/>
    </xf>
    <xf numFmtId="0" fontId="28" fillId="14" borderId="18" xfId="4" applyFont="1" applyFill="1" applyBorder="1" applyAlignment="1" applyProtection="1">
      <alignment horizontal="left" vertical="center"/>
      <protection locked="0"/>
    </xf>
    <xf numFmtId="0" fontId="28" fillId="14" borderId="14" xfId="4" applyFont="1" applyFill="1" applyBorder="1" applyAlignment="1" applyProtection="1">
      <alignment horizontal="left" vertical="center"/>
      <protection locked="0"/>
    </xf>
    <xf numFmtId="0" fontId="28" fillId="14" borderId="18" xfId="4" applyFont="1" applyFill="1" applyBorder="1" applyAlignment="1" applyProtection="1">
      <alignment horizontal="left" vertical="center" wrapText="1"/>
      <protection locked="0"/>
    </xf>
    <xf numFmtId="0" fontId="28" fillId="14" borderId="14" xfId="4" applyFont="1" applyFill="1" applyBorder="1" applyAlignment="1" applyProtection="1">
      <alignment horizontal="left" vertical="center" wrapText="1"/>
      <protection locked="0"/>
    </xf>
    <xf numFmtId="0" fontId="0" fillId="13" borderId="23" xfId="0" applyFill="1" applyBorder="1" applyAlignment="1" applyProtection="1">
      <alignment horizontal="center" vertical="center" wrapText="1"/>
      <protection locked="0"/>
    </xf>
    <xf numFmtId="0" fontId="35" fillId="14" borderId="17" xfId="4" applyFont="1" applyFill="1" applyBorder="1" applyAlignment="1" applyProtection="1">
      <alignment horizontal="center" vertical="center" wrapText="1"/>
      <protection locked="0"/>
    </xf>
    <xf numFmtId="0" fontId="35" fillId="14" borderId="15" xfId="4" applyFont="1" applyFill="1" applyBorder="1" applyAlignment="1" applyProtection="1">
      <alignment horizontal="center" vertical="center" wrapText="1"/>
      <protection locked="0"/>
    </xf>
    <xf numFmtId="0" fontId="35" fillId="14" borderId="20" xfId="4" applyFont="1" applyFill="1" applyBorder="1" applyAlignment="1" applyProtection="1">
      <alignment horizontal="center" vertical="center" wrapText="1"/>
      <protection locked="0"/>
    </xf>
    <xf numFmtId="0" fontId="0" fillId="9" borderId="23" xfId="0" applyFill="1" applyBorder="1" applyAlignment="1" applyProtection="1">
      <alignment horizontal="left" vertical="top" wrapText="1"/>
      <protection locked="0"/>
    </xf>
    <xf numFmtId="0" fontId="25" fillId="14" borderId="17" xfId="0" applyFont="1" applyFill="1" applyBorder="1" applyAlignment="1" applyProtection="1">
      <alignment horizontal="left" vertical="center"/>
      <protection locked="0"/>
    </xf>
    <xf numFmtId="0" fontId="25" fillId="14" borderId="15" xfId="0" applyFont="1" applyFill="1" applyBorder="1" applyAlignment="1" applyProtection="1">
      <alignment horizontal="left" vertical="center"/>
      <protection locked="0"/>
    </xf>
    <xf numFmtId="0" fontId="25" fillId="9" borderId="17" xfId="0" applyFont="1" applyFill="1" applyBorder="1" applyAlignment="1" applyProtection="1">
      <alignment horizontal="left" vertical="top"/>
      <protection locked="0"/>
    </xf>
    <xf numFmtId="0" fontId="25" fillId="9" borderId="15" xfId="0" applyFont="1" applyFill="1" applyBorder="1" applyAlignment="1" applyProtection="1">
      <alignment horizontal="left" vertical="top"/>
      <protection locked="0"/>
    </xf>
    <xf numFmtId="0" fontId="25" fillId="9" borderId="20" xfId="0" applyFont="1" applyFill="1" applyBorder="1" applyAlignment="1" applyProtection="1">
      <alignment horizontal="left" vertical="top"/>
      <protection locked="0"/>
    </xf>
    <xf numFmtId="0" fontId="25" fillId="9" borderId="18" xfId="0" applyFont="1" applyFill="1" applyBorder="1" applyAlignment="1" applyProtection="1">
      <alignment horizontal="left" vertical="top"/>
      <protection locked="0"/>
    </xf>
    <xf numFmtId="0" fontId="25" fillId="9" borderId="14" xfId="0" applyFont="1" applyFill="1" applyBorder="1" applyAlignment="1" applyProtection="1">
      <alignment horizontal="left" vertical="top"/>
      <protection locked="0"/>
    </xf>
    <xf numFmtId="0" fontId="0" fillId="13" borderId="18" xfId="0" applyFill="1" applyBorder="1" applyAlignment="1" applyProtection="1">
      <alignment horizontal="left" vertical="center" wrapText="1"/>
      <protection locked="0"/>
    </xf>
    <xf numFmtId="0" fontId="0" fillId="13" borderId="14" xfId="0" applyFill="1" applyBorder="1" applyAlignment="1" applyProtection="1">
      <alignment horizontal="left" vertical="center" wrapText="1"/>
      <protection locked="0"/>
    </xf>
    <xf numFmtId="0" fontId="0" fillId="24" borderId="17" xfId="0" applyFill="1" applyBorder="1" applyAlignment="1" applyProtection="1">
      <alignment horizontal="left" vertical="top" wrapText="1"/>
      <protection locked="0"/>
    </xf>
    <xf numFmtId="0" fontId="0" fillId="24" borderId="15" xfId="0" applyFill="1" applyBorder="1" applyAlignment="1" applyProtection="1">
      <alignment horizontal="left" vertical="top" wrapText="1"/>
      <protection locked="0"/>
    </xf>
    <xf numFmtId="0" fontId="0" fillId="24" borderId="20" xfId="0" applyFill="1" applyBorder="1" applyAlignment="1" applyProtection="1">
      <alignment horizontal="left" vertical="top" wrapText="1"/>
      <protection locked="0"/>
    </xf>
    <xf numFmtId="0" fontId="25" fillId="0" borderId="0" xfId="0" applyFont="1" applyAlignment="1">
      <alignment vertical="top" wrapText="1"/>
    </xf>
    <xf numFmtId="0" fontId="91" fillId="14" borderId="18" xfId="0" applyFont="1" applyFill="1" applyBorder="1" applyAlignment="1" applyProtection="1">
      <alignment horizontal="left" vertical="center" wrapText="1"/>
      <protection locked="0"/>
    </xf>
    <xf numFmtId="0" fontId="91" fillId="14" borderId="14" xfId="0" applyFont="1" applyFill="1" applyBorder="1" applyAlignment="1" applyProtection="1">
      <alignment horizontal="left" vertical="center" wrapText="1"/>
      <protection locked="0"/>
    </xf>
    <xf numFmtId="0" fontId="121" fillId="13" borderId="17" xfId="0" applyFont="1" applyFill="1" applyBorder="1" applyAlignment="1" applyProtection="1">
      <alignment horizontal="left" vertical="top" wrapText="1"/>
      <protection locked="0"/>
    </xf>
    <xf numFmtId="0" fontId="121" fillId="13" borderId="15" xfId="0" applyFont="1" applyFill="1" applyBorder="1" applyAlignment="1" applyProtection="1">
      <alignment horizontal="left" vertical="top" wrapText="1"/>
      <protection locked="0"/>
    </xf>
    <xf numFmtId="0" fontId="25" fillId="0" borderId="0" xfId="0" applyFont="1" applyAlignment="1" applyProtection="1">
      <alignment horizontal="left" vertical="top" wrapText="1"/>
      <protection locked="0"/>
    </xf>
    <xf numFmtId="0" fontId="112" fillId="9" borderId="17" xfId="0" applyFont="1" applyFill="1" applyBorder="1" applyAlignment="1" applyProtection="1">
      <alignment horizontal="left" vertical="top" wrapText="1"/>
      <protection locked="0"/>
    </xf>
    <xf numFmtId="0" fontId="112" fillId="9" borderId="15" xfId="0" applyFont="1" applyFill="1" applyBorder="1" applyAlignment="1" applyProtection="1">
      <alignment horizontal="left" vertical="top" wrapText="1"/>
      <protection locked="0"/>
    </xf>
    <xf numFmtId="0" fontId="112" fillId="9" borderId="20" xfId="0" applyFont="1" applyFill="1" applyBorder="1" applyAlignment="1" applyProtection="1">
      <alignment horizontal="left" vertical="top" wrapText="1"/>
      <protection locked="0"/>
    </xf>
    <xf numFmtId="0" fontId="35" fillId="24" borderId="17" xfId="4" applyFont="1" applyFill="1" applyBorder="1" applyAlignment="1" applyProtection="1">
      <alignment horizontal="center" vertical="center" wrapText="1"/>
      <protection locked="0"/>
    </xf>
    <xf numFmtId="0" fontId="35" fillId="24" borderId="15" xfId="4" applyFont="1" applyFill="1" applyBorder="1" applyAlignment="1" applyProtection="1">
      <alignment horizontal="center" vertical="center" wrapText="1"/>
      <protection locked="0"/>
    </xf>
    <xf numFmtId="0" fontId="35" fillId="24" borderId="20" xfId="4" applyFont="1" applyFill="1" applyBorder="1" applyAlignment="1" applyProtection="1">
      <alignment horizontal="center" vertical="center" wrapText="1"/>
      <protection locked="0"/>
    </xf>
    <xf numFmtId="0" fontId="110" fillId="9" borderId="18" xfId="0" applyFont="1" applyFill="1" applyBorder="1" applyAlignment="1" applyProtection="1">
      <alignment horizontal="left" vertical="top" wrapText="1"/>
      <protection locked="0"/>
    </xf>
    <xf numFmtId="0" fontId="110" fillId="9" borderId="14" xfId="0" applyFont="1" applyFill="1" applyBorder="1" applyAlignment="1" applyProtection="1">
      <alignment horizontal="left" vertical="top"/>
      <protection locked="0"/>
    </xf>
    <xf numFmtId="0" fontId="110" fillId="9" borderId="14" xfId="0" applyFont="1" applyFill="1" applyBorder="1" applyAlignment="1" applyProtection="1">
      <alignment horizontal="left" vertical="top" wrapText="1"/>
      <protection locked="0"/>
    </xf>
    <xf numFmtId="0" fontId="110" fillId="9" borderId="18" xfId="0" applyFont="1" applyFill="1" applyBorder="1" applyAlignment="1" applyProtection="1">
      <alignment horizontal="left" vertical="top"/>
      <protection locked="0"/>
    </xf>
    <xf numFmtId="0" fontId="28" fillId="9" borderId="18" xfId="4" applyFont="1" applyFill="1" applyBorder="1" applyAlignment="1" applyProtection="1">
      <alignment horizontal="left" vertical="center"/>
      <protection locked="0"/>
    </xf>
    <xf numFmtId="0" fontId="28" fillId="9" borderId="14" xfId="4" applyFont="1" applyFill="1" applyBorder="1" applyAlignment="1" applyProtection="1">
      <alignment horizontal="left" vertical="center"/>
      <protection locked="0"/>
    </xf>
    <xf numFmtId="0" fontId="109" fillId="9" borderId="18" xfId="0" applyFont="1" applyFill="1" applyBorder="1" applyAlignment="1" applyProtection="1">
      <alignment horizontal="left" vertical="top" wrapText="1"/>
      <protection locked="0"/>
    </xf>
    <xf numFmtId="0" fontId="109" fillId="9" borderId="14" xfId="0" applyFont="1" applyFill="1" applyBorder="1" applyAlignment="1" applyProtection="1">
      <alignment horizontal="left" vertical="top" wrapText="1"/>
      <protection locked="0"/>
    </xf>
    <xf numFmtId="0" fontId="3" fillId="9" borderId="18" xfId="0" applyFont="1" applyFill="1" applyBorder="1" applyAlignment="1" applyProtection="1">
      <alignment horizontal="left" vertical="top" wrapText="1"/>
      <protection locked="0"/>
    </xf>
    <xf numFmtId="0" fontId="3" fillId="9" borderId="14" xfId="0" applyFont="1" applyFill="1" applyBorder="1" applyAlignment="1" applyProtection="1">
      <alignment horizontal="left" vertical="top" wrapText="1"/>
      <protection locked="0"/>
    </xf>
    <xf numFmtId="0" fontId="28" fillId="14" borderId="17" xfId="4" applyFont="1" applyFill="1" applyBorder="1" applyAlignment="1" applyProtection="1">
      <alignment horizontal="left" vertical="center"/>
      <protection locked="0"/>
    </xf>
    <xf numFmtId="0" fontId="28" fillId="14" borderId="15" xfId="4" applyFont="1" applyFill="1" applyBorder="1" applyAlignment="1" applyProtection="1">
      <alignment horizontal="left" vertical="center"/>
      <protection locked="0"/>
    </xf>
    <xf numFmtId="0" fontId="28" fillId="14" borderId="20" xfId="4" applyFont="1" applyFill="1" applyBorder="1" applyAlignment="1" applyProtection="1">
      <alignment horizontal="left" vertical="center"/>
      <protection locked="0"/>
    </xf>
    <xf numFmtId="0" fontId="0" fillId="13" borderId="17" xfId="0" applyFill="1" applyBorder="1" applyAlignment="1" applyProtection="1">
      <alignment horizontal="center" vertical="center" wrapText="1"/>
      <protection locked="0"/>
    </xf>
    <xf numFmtId="0" fontId="0" fillId="13" borderId="20" xfId="0" applyFill="1" applyBorder="1" applyAlignment="1" applyProtection="1">
      <alignment horizontal="center" vertical="center" wrapText="1"/>
      <protection locked="0"/>
    </xf>
    <xf numFmtId="0" fontId="0" fillId="0" borderId="0" xfId="0" applyAlignment="1" applyProtection="1">
      <alignment vertical="center" wrapText="1"/>
      <protection locked="0"/>
    </xf>
    <xf numFmtId="0" fontId="0" fillId="0" borderId="0" xfId="0" applyProtection="1">
      <protection locked="0"/>
    </xf>
    <xf numFmtId="0" fontId="0" fillId="0" borderId="0" xfId="0" applyAlignment="1" applyProtection="1">
      <alignment horizontal="center" vertical="center" wrapText="1"/>
      <protection locked="0"/>
    </xf>
    <xf numFmtId="0" fontId="0" fillId="14" borderId="6" xfId="0" applyFill="1" applyBorder="1" applyAlignment="1" applyProtection="1">
      <alignment horizontal="left" vertical="center" wrapText="1"/>
      <protection locked="0"/>
    </xf>
    <xf numFmtId="0" fontId="0" fillId="14" borderId="8" xfId="0" applyFill="1" applyBorder="1" applyAlignment="1" applyProtection="1">
      <alignment horizontal="left" vertical="center" wrapText="1"/>
      <protection locked="0"/>
    </xf>
    <xf numFmtId="0" fontId="0" fillId="13" borderId="7" xfId="0" applyFill="1" applyBorder="1" applyAlignment="1" applyProtection="1">
      <alignment horizontal="center" vertical="center" wrapText="1"/>
      <protection locked="0"/>
    </xf>
    <xf numFmtId="0" fontId="0" fillId="13" borderId="8" xfId="0" applyFill="1" applyBorder="1" applyAlignment="1" applyProtection="1">
      <alignment horizontal="center" vertical="center" wrapText="1"/>
      <protection locked="0"/>
    </xf>
    <xf numFmtId="0" fontId="0" fillId="14" borderId="9" xfId="0" applyFill="1" applyBorder="1" applyAlignment="1" applyProtection="1">
      <alignment horizontal="left" vertical="center" wrapText="1"/>
      <protection locked="0"/>
    </xf>
    <xf numFmtId="0" fontId="0" fillId="9" borderId="9" xfId="0" applyFill="1" applyBorder="1" applyAlignment="1" applyProtection="1">
      <alignment horizontal="left" vertical="top" wrapText="1"/>
      <protection locked="0"/>
    </xf>
    <xf numFmtId="0" fontId="0" fillId="14" borderId="9" xfId="0" applyFill="1" applyBorder="1" applyAlignment="1" applyProtection="1">
      <alignment horizontal="center" vertical="center" wrapText="1"/>
      <protection locked="0"/>
    </xf>
    <xf numFmtId="0" fontId="0" fillId="13" borderId="12" xfId="0" applyFill="1" applyBorder="1" applyAlignment="1" applyProtection="1">
      <alignment horizontal="center" vertical="center" wrapText="1"/>
      <protection locked="0"/>
    </xf>
    <xf numFmtId="0" fontId="0" fillId="13" borderId="13" xfId="0" applyFill="1" applyBorder="1" applyAlignment="1" applyProtection="1">
      <alignment horizontal="center" vertical="center" wrapText="1"/>
      <protection locked="0"/>
    </xf>
    <xf numFmtId="0" fontId="52" fillId="11" borderId="0" xfId="1" applyFont="1" applyFill="1" applyAlignment="1" applyProtection="1">
      <alignment horizontal="left"/>
      <protection locked="0"/>
    </xf>
    <xf numFmtId="0" fontId="13" fillId="9" borderId="9" xfId="0" applyFont="1" applyFill="1" applyBorder="1" applyAlignment="1" applyProtection="1">
      <alignment horizontal="left" vertical="top" wrapText="1"/>
      <protection locked="0"/>
    </xf>
    <xf numFmtId="0" fontId="0" fillId="0" borderId="0" xfId="0" applyAlignment="1" applyProtection="1">
      <alignment horizontal="left" vertical="center" wrapText="1"/>
      <protection locked="0"/>
    </xf>
    <xf numFmtId="0" fontId="0" fillId="0" borderId="10" xfId="0" applyBorder="1" applyAlignment="1" applyProtection="1">
      <alignment horizontal="left" vertical="center" wrapText="1"/>
      <protection locked="0"/>
    </xf>
    <xf numFmtId="0" fontId="43" fillId="0" borderId="0" xfId="4" applyFont="1" applyFill="1" applyBorder="1" applyAlignment="1" applyProtection="1">
      <alignment horizontal="left" vertical="center"/>
      <protection locked="0"/>
    </xf>
    <xf numFmtId="0" fontId="25" fillId="14" borderId="17" xfId="0" applyFont="1" applyFill="1" applyBorder="1" applyAlignment="1" applyProtection="1">
      <alignment horizontal="left" vertical="center" wrapText="1"/>
      <protection locked="0"/>
    </xf>
    <xf numFmtId="0" fontId="25" fillId="14" borderId="20" xfId="0" applyFont="1" applyFill="1" applyBorder="1" applyAlignment="1" applyProtection="1">
      <alignment horizontal="left" vertical="center" wrapText="1"/>
      <protection locked="0"/>
    </xf>
    <xf numFmtId="0" fontId="0" fillId="14" borderId="15" xfId="0" applyFill="1" applyBorder="1" applyAlignment="1" applyProtection="1">
      <alignment horizontal="left" vertical="center" wrapText="1"/>
      <protection locked="0"/>
    </xf>
    <xf numFmtId="167" fontId="55" fillId="10" borderId="18" xfId="0" applyNumberFormat="1" applyFont="1" applyFill="1" applyBorder="1" applyAlignment="1" applyProtection="1">
      <alignment vertical="top"/>
      <protection locked="0"/>
    </xf>
    <xf numFmtId="167" fontId="55" fillId="10" borderId="14" xfId="0" applyNumberFormat="1" applyFont="1" applyFill="1" applyBorder="1" applyAlignment="1" applyProtection="1">
      <alignment vertical="top"/>
      <protection locked="0"/>
    </xf>
    <xf numFmtId="0" fontId="39" fillId="14" borderId="18" xfId="0" applyFont="1" applyFill="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8" fillId="14" borderId="18" xfId="0" applyFont="1" applyFill="1" applyBorder="1" applyAlignment="1" applyProtection="1">
      <alignment horizontal="right" vertical="top"/>
      <protection locked="0"/>
    </xf>
    <xf numFmtId="0" fontId="8" fillId="14" borderId="18" xfId="0" applyFont="1" applyFill="1" applyBorder="1" applyAlignment="1" applyProtection="1">
      <alignment horizontal="center" vertical="top" wrapText="1"/>
      <protection locked="0"/>
    </xf>
    <xf numFmtId="0" fontId="8" fillId="14" borderId="14" xfId="0" applyFont="1" applyFill="1" applyBorder="1" applyAlignment="1" applyProtection="1">
      <alignment horizontal="center" vertical="top" wrapText="1"/>
      <protection locked="0"/>
    </xf>
    <xf numFmtId="0" fontId="0" fillId="24" borderId="18" xfId="0" applyFill="1" applyBorder="1" applyAlignment="1">
      <alignment horizontal="center"/>
    </xf>
    <xf numFmtId="0" fontId="0" fillId="24" borderId="14" xfId="0" applyFill="1" applyBorder="1" applyAlignment="1">
      <alignment horizontal="center"/>
    </xf>
    <xf numFmtId="10" fontId="0" fillId="24" borderId="18" xfId="0" applyNumberFormat="1" applyFill="1" applyBorder="1" applyAlignment="1">
      <alignment horizontal="center"/>
    </xf>
    <xf numFmtId="10" fontId="0" fillId="24" borderId="14" xfId="0" applyNumberFormat="1" applyFill="1" applyBorder="1" applyAlignment="1">
      <alignment horizontal="center"/>
    </xf>
    <xf numFmtId="0" fontId="8" fillId="14" borderId="18" xfId="0" applyFont="1" applyFill="1" applyBorder="1" applyAlignment="1" applyProtection="1">
      <alignment horizontal="left" vertical="top"/>
      <protection locked="0"/>
    </xf>
    <xf numFmtId="0" fontId="8" fillId="14" borderId="14" xfId="0" applyFont="1" applyFill="1" applyBorder="1" applyAlignment="1" applyProtection="1">
      <alignment horizontal="left" vertical="top"/>
      <protection locked="0"/>
    </xf>
    <xf numFmtId="0" fontId="8" fillId="5" borderId="18" xfId="0" applyFont="1" applyFill="1" applyBorder="1" applyAlignment="1" applyProtection="1">
      <alignment horizontal="center" vertical="center" wrapText="1"/>
      <protection locked="0"/>
    </xf>
    <xf numFmtId="0" fontId="8" fillId="5" borderId="14" xfId="0" applyFont="1" applyFill="1" applyBorder="1" applyAlignment="1" applyProtection="1">
      <alignment horizontal="center" vertical="center" wrapText="1"/>
      <protection locked="0"/>
    </xf>
    <xf numFmtId="0" fontId="8" fillId="14" borderId="18" xfId="0" applyFont="1" applyFill="1" applyBorder="1" applyAlignment="1" applyProtection="1">
      <alignment horizontal="left" vertical="top" wrapText="1" indent="1"/>
      <protection locked="0"/>
    </xf>
    <xf numFmtId="0" fontId="8" fillId="9" borderId="18" xfId="0" applyFont="1" applyFill="1" applyBorder="1" applyAlignment="1" applyProtection="1">
      <alignment horizontal="left" vertical="top" wrapText="1"/>
      <protection locked="0"/>
    </xf>
    <xf numFmtId="1" fontId="0" fillId="14" borderId="18" xfId="0" applyNumberFormat="1" applyFill="1" applyBorder="1" applyAlignment="1" applyProtection="1">
      <alignment horizontal="left" vertical="center" wrapText="1"/>
      <protection locked="0"/>
    </xf>
    <xf numFmtId="1" fontId="0" fillId="14" borderId="17" xfId="0" applyNumberFormat="1" applyFill="1" applyBorder="1" applyAlignment="1" applyProtection="1">
      <alignment horizontal="left" vertical="center" wrapText="1"/>
      <protection locked="0"/>
    </xf>
    <xf numFmtId="0" fontId="8" fillId="14" borderId="17" xfId="0" applyFont="1" applyFill="1" applyBorder="1" applyAlignment="1" applyProtection="1">
      <alignment horizontal="right" vertical="top"/>
      <protection locked="0"/>
    </xf>
    <xf numFmtId="0" fontId="0" fillId="9" borderId="18" xfId="0" applyFill="1" applyBorder="1" applyAlignment="1">
      <alignment horizontal="center"/>
    </xf>
    <xf numFmtId="0" fontId="0" fillId="9" borderId="23" xfId="0" applyFill="1" applyBorder="1" applyAlignment="1">
      <alignment horizontal="center"/>
    </xf>
    <xf numFmtId="171" fontId="0" fillId="14" borderId="17" xfId="0" applyNumberFormat="1" applyFill="1" applyBorder="1" applyAlignment="1">
      <alignment horizontal="center"/>
    </xf>
    <xf numFmtId="171" fontId="0" fillId="14" borderId="20" xfId="0" applyNumberFormat="1" applyFill="1" applyBorder="1" applyAlignment="1">
      <alignment horizontal="center"/>
    </xf>
    <xf numFmtId="10" fontId="0" fillId="9" borderId="18" xfId="0" applyNumberFormat="1" applyFill="1" applyBorder="1" applyAlignment="1">
      <alignment horizontal="center"/>
    </xf>
    <xf numFmtId="10" fontId="0" fillId="9" borderId="23" xfId="0" applyNumberFormat="1" applyFill="1" applyBorder="1" applyAlignment="1">
      <alignment horizontal="center"/>
    </xf>
    <xf numFmtId="10" fontId="0" fillId="9" borderId="17" xfId="0" applyNumberFormat="1" applyFill="1" applyBorder="1" applyAlignment="1">
      <alignment horizontal="center"/>
    </xf>
    <xf numFmtId="10" fontId="0" fillId="9" borderId="20" xfId="0" applyNumberFormat="1" applyFill="1" applyBorder="1" applyAlignment="1">
      <alignment horizontal="center"/>
    </xf>
    <xf numFmtId="1" fontId="0" fillId="14" borderId="14" xfId="0" applyNumberFormat="1" applyFill="1" applyBorder="1" applyAlignment="1" applyProtection="1">
      <alignment horizontal="left" vertical="center" wrapText="1"/>
      <protection locked="0"/>
    </xf>
    <xf numFmtId="1" fontId="0" fillId="14" borderId="21" xfId="0" applyNumberFormat="1" applyFill="1" applyBorder="1" applyAlignment="1" applyProtection="1">
      <alignment horizontal="left" vertical="center" wrapText="1"/>
      <protection locked="0"/>
    </xf>
    <xf numFmtId="1" fontId="0" fillId="14" borderId="0" xfId="0" applyNumberFormat="1" applyFill="1" applyAlignment="1" applyProtection="1">
      <alignment horizontal="left" vertical="center" wrapText="1"/>
      <protection locked="0"/>
    </xf>
    <xf numFmtId="1" fontId="0" fillId="14" borderId="35" xfId="0" applyNumberFormat="1" applyFill="1" applyBorder="1" applyAlignment="1" applyProtection="1">
      <alignment horizontal="left" vertical="center" wrapText="1"/>
      <protection locked="0"/>
    </xf>
    <xf numFmtId="1" fontId="0" fillId="14" borderId="36" xfId="0" applyNumberFormat="1" applyFill="1" applyBorder="1" applyAlignment="1" applyProtection="1">
      <alignment horizontal="left" vertical="center" wrapText="1"/>
      <protection locked="0"/>
    </xf>
    <xf numFmtId="0" fontId="0" fillId="14" borderId="6" xfId="0" applyFill="1" applyBorder="1" applyAlignment="1" applyProtection="1">
      <alignment horizontal="center" vertical="center" wrapText="1"/>
      <protection locked="0"/>
    </xf>
    <xf numFmtId="0" fontId="0" fillId="14" borderId="7" xfId="0" applyFill="1" applyBorder="1" applyAlignment="1" applyProtection="1">
      <alignment horizontal="center" vertical="center" wrapText="1"/>
      <protection locked="0"/>
    </xf>
    <xf numFmtId="0" fontId="0" fillId="14" borderId="8" xfId="0" applyFill="1" applyBorder="1" applyAlignment="1" applyProtection="1">
      <alignment horizontal="center" vertical="center" wrapText="1"/>
      <protection locked="0"/>
    </xf>
    <xf numFmtId="0" fontId="32" fillId="13" borderId="6" xfId="0" applyFont="1" applyFill="1" applyBorder="1" applyAlignment="1" applyProtection="1">
      <alignment horizontal="center" vertical="top"/>
      <protection locked="0"/>
    </xf>
    <xf numFmtId="0" fontId="32" fillId="13" borderId="8" xfId="0" applyFont="1" applyFill="1" applyBorder="1" applyAlignment="1" applyProtection="1">
      <alignment horizontal="center" vertical="top"/>
      <protection locked="0"/>
    </xf>
    <xf numFmtId="0" fontId="0" fillId="14" borderId="7" xfId="0" applyFill="1" applyBorder="1" applyAlignment="1" applyProtection="1">
      <alignment horizontal="left" vertical="center" wrapText="1"/>
      <protection locked="0"/>
    </xf>
    <xf numFmtId="0" fontId="51" fillId="0" borderId="0" xfId="1" applyFont="1" applyFill="1" applyAlignment="1" applyProtection="1">
      <alignment horizontal="left"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181" fontId="0" fillId="16" borderId="18" xfId="0" applyNumberFormat="1" applyFill="1" applyBorder="1" applyAlignment="1" applyProtection="1">
      <alignment horizontal="left" vertical="center" wrapText="1"/>
      <protection locked="0"/>
    </xf>
    <xf numFmtId="14" fontId="0" fillId="16" borderId="18" xfId="0" applyNumberFormat="1" applyFill="1" applyBorder="1" applyAlignment="1" applyProtection="1">
      <alignment horizontal="left" vertical="center" wrapText="1"/>
      <protection locked="0"/>
    </xf>
    <xf numFmtId="0" fontId="0" fillId="16" borderId="19" xfId="0" applyFill="1" applyBorder="1" applyAlignment="1" applyProtection="1">
      <alignment horizontal="left" vertical="center" wrapText="1"/>
      <protection locked="0"/>
    </xf>
  </cellXfs>
  <cellStyles count="12">
    <cellStyle name="60% - Accent1" xfId="4" builtinId="32"/>
    <cellStyle name="Accent1" xfId="1" builtinId="29"/>
    <cellStyle name="BoldHyperlink" xfId="8" xr:uid="{00000000-0005-0000-0000-000002000000}"/>
    <cellStyle name="Check Cell" xfId="11" builtinId="23"/>
    <cellStyle name="Comma" xfId="6" builtinId="3"/>
    <cellStyle name="Comma 40" xfId="10" xr:uid="{00000000-0005-0000-0000-000005000000}"/>
    <cellStyle name="Explanatory Text" xfId="5" builtinId="53"/>
    <cellStyle name="Followed Hyperlink" xfId="7" builtinId="9" customBuiltin="1"/>
    <cellStyle name="Hyperlink" xfId="2" builtinId="8" customBuiltin="1"/>
    <cellStyle name="Normal" xfId="0" builtinId="0"/>
    <cellStyle name="Percent" xfId="3" builtinId="5"/>
    <cellStyle name="Percent 12" xfId="9" xr:uid="{00000000-0005-0000-0000-00000B000000}"/>
  </cellStyles>
  <dxfs count="1485">
    <dxf>
      <fill>
        <patternFill>
          <fgColor indexed="64"/>
          <bgColor theme="0"/>
        </patternFill>
      </fill>
    </dxf>
    <dxf>
      <font>
        <b/>
        <i val="0"/>
        <color rgb="FFFF0000"/>
      </font>
    </dxf>
    <dxf>
      <fill>
        <patternFill>
          <fgColor indexed="64"/>
          <bgColor theme="0"/>
        </patternFill>
      </fill>
    </dxf>
    <dxf>
      <font>
        <b/>
        <i val="0"/>
        <color rgb="FFFF0000"/>
      </font>
    </dxf>
    <dxf>
      <font>
        <b/>
        <i val="0"/>
        <color rgb="FFFF0000"/>
      </font>
    </dxf>
    <dxf>
      <numFmt numFmtId="183" formatCode="\±0.000&quot; min&quot;"/>
    </dxf>
    <dxf>
      <numFmt numFmtId="167" formatCode="\±0.0%"/>
    </dxf>
    <dxf>
      <fill>
        <patternFill>
          <fgColor indexed="64"/>
          <bgColor theme="0"/>
        </patternFill>
      </fill>
    </dxf>
    <dxf>
      <font>
        <b/>
        <i val="0"/>
        <color rgb="FFFF0000"/>
      </font>
    </dxf>
    <dxf>
      <font>
        <b/>
        <i val="0"/>
        <color rgb="FFFF0000"/>
      </font>
    </dxf>
    <dxf>
      <font>
        <b/>
        <i val="0"/>
        <color rgb="FFFF0000"/>
      </font>
    </dxf>
    <dxf>
      <numFmt numFmtId="184" formatCode="&quot;±&quot;0.000&quot; min&quot;"/>
    </dxf>
    <dxf>
      <numFmt numFmtId="185" formatCode="&quot;±&quot;0.0%"/>
    </dxf>
    <dxf>
      <fill>
        <patternFill>
          <fgColor indexed="64"/>
          <bgColor theme="0"/>
        </patternFill>
      </fill>
    </dxf>
    <dxf>
      <fill>
        <patternFill>
          <fgColor indexed="64"/>
          <bgColor theme="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ill>
        <patternFill>
          <fgColor indexed="64"/>
          <bgColor theme="0"/>
        </patternFill>
      </fill>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ont>
        <b/>
        <i val="0"/>
        <color rgb="FFFF0000"/>
      </font>
    </dxf>
    <dxf>
      <font>
        <b/>
        <i val="0"/>
        <color rgb="FFFF0000"/>
      </font>
    </dxf>
    <dxf>
      <font>
        <b/>
        <i val="0"/>
        <color rgb="FFFF0000"/>
      </font>
    </dxf>
    <dxf>
      <font>
        <b/>
        <i val="0"/>
        <color rgb="FFFF0000"/>
      </font>
    </dxf>
    <dxf>
      <font>
        <b/>
        <i val="0"/>
        <color rgb="FFFF0000"/>
      </font>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fill>
        <patternFill>
          <fgColor indexed="64"/>
          <bgColor theme="0"/>
        </patternFill>
      </fill>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0" formatCode="General"/>
    </dxf>
    <dxf>
      <numFmt numFmtId="0" formatCode="General"/>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numFmt numFmtId="165" formatCode="0.0%"/>
      <fill>
        <patternFill patternType="none">
          <fgColor indexed="64"/>
          <bgColor auto="1"/>
        </patternFill>
      </fill>
      <alignment horizontal="general" vertical="center" textRotation="0" wrapText="0" indent="0" justifyLastLine="0" shrinkToFit="0" readingOrder="0"/>
      <border diagonalUp="0" diagonalDown="0" outline="0">
        <left style="thin">
          <color rgb="FFFFFFFF"/>
        </left>
        <right style="thin">
          <color rgb="FFFFFFFF"/>
        </right>
        <top style="thin">
          <color rgb="FFFFFFFF"/>
        </top>
        <bottom style="thin">
          <color rgb="FFFFFFFF"/>
        </bottom>
      </border>
    </dxf>
    <dxf>
      <alignment horizontal="general" vertical="center" textRotation="0" wrapText="0" indent="0" justifyLastLine="0" shrinkToFit="0" readingOrder="0"/>
    </dxf>
    <dxf>
      <numFmt numFmtId="0" formatCode="General"/>
    </dxf>
    <dxf>
      <numFmt numFmtId="14" formatCode="0.00%"/>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font>
      <alignment textRotation="0" wrapText="0" indent="0" justifyLastLine="0" shrinkToFit="0" readingOrder="0"/>
      <border diagonalUp="0" diagonalDown="0" outline="0">
        <left/>
        <right style="thin">
          <color indexed="64"/>
        </right>
        <top style="thin">
          <color indexed="64"/>
        </top>
        <bottom style="thin">
          <color indexed="64"/>
        </bottom>
      </border>
    </dxf>
    <dxf>
      <numFmt numFmtId="22" formatCode="mmm\-yy"/>
      <alignment textRotation="0" wrapText="0" indent="0" justifyLastLine="0" shrinkToFit="0" readingOrder="0"/>
    </dxf>
    <dxf>
      <font>
        <b/>
        <i val="0"/>
        <strike val="0"/>
        <condense val="0"/>
        <extend val="0"/>
        <outline val="0"/>
        <shadow val="0"/>
        <u val="none"/>
        <vertAlign val="baseline"/>
        <sz val="11"/>
        <color theme="1"/>
        <name val="Calibri"/>
        <scheme val="minor"/>
      </font>
      <numFmt numFmtId="22" formatCode="mmm\-yy"/>
      <alignment horizontal="center" vertical="center" textRotation="0" wrapText="0" indent="0" justifyLastLine="0" shrinkToFit="0" readingOrder="0"/>
      <border diagonalUp="0" diagonalDown="0" outline="0">
        <left style="thin">
          <color indexed="64"/>
        </left>
        <right style="thin">
          <color indexed="64"/>
        </right>
        <top/>
        <bottom/>
      </border>
    </dxf>
    <dxf>
      <numFmt numFmtId="177" formatCode="0.00000"/>
    </dxf>
    <dxf>
      <numFmt numFmtId="0" formatCode="General"/>
      <alignment horizontal="left" vertical="bottom" textRotation="0" wrapText="0" indent="0" justifyLastLine="0" shrinkToFit="0" readingOrder="0"/>
    </dxf>
    <dxf>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4" formatCode="0.00%"/>
    </dxf>
    <dxf>
      <numFmt numFmtId="1" formatCode="0"/>
    </dxf>
    <dxf>
      <numFmt numFmtId="0" formatCode="General"/>
    </dxf>
  </dxfs>
  <tableStyles count="0" defaultTableStyle="TableStyleMedium2" defaultPivotStyle="PivotStyleLight16"/>
  <colors>
    <mruColors>
      <color rgb="FFEEF7E9"/>
      <color rgb="FFFDFDD9"/>
      <color rgb="FF00FFCC"/>
      <color rgb="FF00FF99"/>
      <color rgb="FFFFFFCC"/>
      <color rgb="FF808080"/>
      <color rgb="FF339966"/>
      <color rgb="FF92D050"/>
      <color rgb="FF366092"/>
      <color rgb="FFD9D9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2.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1.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8036E-2"/>
          <c:y val="2.7340543338431663E-2"/>
          <c:w val="0.8486469922966966"/>
          <c:h val="0.92111305651876463"/>
        </c:manualLayout>
      </c:layout>
      <c:areaChart>
        <c:grouping val="stacked"/>
        <c:varyColors val="0"/>
        <c:ser>
          <c:idx val="13"/>
          <c:order val="13"/>
          <c:tx>
            <c:strRef>
              <c:f>'Graphics data'!$Q$11</c:f>
              <c:strCache>
                <c:ptCount val="1"/>
                <c:pt idx="0">
                  <c:v>bottom</c:v>
                </c:pt>
              </c:strCache>
            </c:strRef>
          </c:tx>
          <c:spPr>
            <a:solidFill>
              <a:schemeClr val="bg1">
                <a:alpha val="0"/>
              </a:schemeClr>
            </a:solidFill>
            <a:ln>
              <a:noFill/>
            </a:ln>
          </c:spPr>
          <c:cat>
            <c:numRef>
              <c:f>'Graphics data'!$P$12:$P$15</c:f>
              <c:numCache>
                <c:formatCode>General</c:formatCode>
                <c:ptCount val="4"/>
                <c:pt idx="0">
                  <c:v>0</c:v>
                </c:pt>
                <c:pt idx="1">
                  <c:v>0</c:v>
                </c:pt>
                <c:pt idx="2">
                  <c:v>0</c:v>
                </c:pt>
                <c:pt idx="3">
                  <c:v>1000.0000000000001</c:v>
                </c:pt>
              </c:numCache>
            </c:numRef>
          </c:cat>
          <c:val>
            <c:numRef>
              <c:f>'Graphics data'!$Q$12:$Q$15</c:f>
              <c:numCache>
                <c:formatCode>0.00%</c:formatCode>
                <c:ptCount val="4"/>
                <c:pt idx="0">
                  <c:v>-0.01</c:v>
                </c:pt>
                <c:pt idx="1">
                  <c:v>-0.01</c:v>
                </c:pt>
                <c:pt idx="2">
                  <c:v>0</c:v>
                </c:pt>
                <c:pt idx="3">
                  <c:v>0</c:v>
                </c:pt>
              </c:numCache>
            </c:numRef>
          </c:val>
          <c:extLst>
            <c:ext xmlns:c16="http://schemas.microsoft.com/office/drawing/2014/chart" uri="{C3380CC4-5D6E-409C-BE32-E72D297353CC}">
              <c16:uniqueId val="{00000000-D9D1-4EB4-947D-2BC7A3839B8D}"/>
            </c:ext>
          </c:extLst>
        </c:ser>
        <c:ser>
          <c:idx val="14"/>
          <c:order val="14"/>
          <c:tx>
            <c:strRef>
              <c:f>'Graphics data'!$R$11</c:f>
              <c:strCache>
                <c:ptCount val="1"/>
                <c:pt idx="0">
                  <c:v>Leftt band</c:v>
                </c:pt>
              </c:strCache>
            </c:strRef>
          </c:tx>
          <c:spPr>
            <a:solidFill>
              <a:schemeClr val="bg1">
                <a:lumMod val="85000"/>
              </a:schemeClr>
            </a:solidFill>
          </c:spPr>
          <c:cat>
            <c:numRef>
              <c:f>'Graphics data'!$P$12:$P$15</c:f>
              <c:numCache>
                <c:formatCode>General</c:formatCode>
                <c:ptCount val="4"/>
                <c:pt idx="0">
                  <c:v>0</c:v>
                </c:pt>
                <c:pt idx="1">
                  <c:v>0</c:v>
                </c:pt>
                <c:pt idx="2">
                  <c:v>0</c:v>
                </c:pt>
                <c:pt idx="3">
                  <c:v>1000.0000000000001</c:v>
                </c:pt>
              </c:numCache>
            </c:numRef>
          </c:cat>
          <c:val>
            <c:numRef>
              <c:f>'Graphics data'!$R$12:$R$15</c:f>
              <c:numCache>
                <c:formatCode>0.00%</c:formatCode>
                <c:ptCount val="4"/>
                <c:pt idx="0">
                  <c:v>2.1999999999999999E-2</c:v>
                </c:pt>
                <c:pt idx="1">
                  <c:v>2.1999999999999999E-2</c:v>
                </c:pt>
                <c:pt idx="2">
                  <c:v>0</c:v>
                </c:pt>
                <c:pt idx="3">
                  <c:v>0</c:v>
                </c:pt>
              </c:numCache>
            </c:numRef>
          </c:val>
          <c:extLst>
            <c:ext xmlns:c16="http://schemas.microsoft.com/office/drawing/2014/chart" uri="{C3380CC4-5D6E-409C-BE32-E72D297353CC}">
              <c16:uniqueId val="{00000001-D9D1-4EB4-947D-2BC7A3839B8D}"/>
            </c:ext>
          </c:extLst>
        </c:ser>
        <c:dLbls>
          <c:showLegendKey val="0"/>
          <c:showVal val="0"/>
          <c:showCatName val="0"/>
          <c:showSerName val="0"/>
          <c:showPercent val="0"/>
          <c:showBubbleSize val="0"/>
        </c:dLbls>
        <c:axId val="164696832"/>
        <c:axId val="164690944"/>
      </c:areaChar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D1-4EB4-947D-2BC7A3839B8D}"/>
                </c:ext>
              </c:extLst>
            </c:dLbl>
            <c:numFmt formatCode="0.00%&quot; Max. Bonu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 data'!$F$8,'Graphics data'!$F$5)</c:f>
              <c:numCache>
                <c:formatCode>General</c:formatCode>
                <c:ptCount val="2"/>
                <c:pt idx="0">
                  <c:v>0.11</c:v>
                </c:pt>
                <c:pt idx="1">
                  <c:v>0.16</c:v>
                </c:pt>
              </c:numCache>
            </c:numRef>
          </c:xVal>
          <c:yVal>
            <c:numRef>
              <c:f>('Graphics data'!$F$9,'Graphics data'!$F$9)</c:f>
              <c:numCache>
                <c:formatCode>0.00%</c:formatCode>
                <c:ptCount val="2"/>
                <c:pt idx="0">
                  <c:v>0.01</c:v>
                </c:pt>
                <c:pt idx="1">
                  <c:v>0.01</c:v>
                </c:pt>
              </c:numCache>
            </c:numRef>
          </c:yVal>
          <c:smooth val="0"/>
          <c:extLst>
            <c:ext xmlns:c16="http://schemas.microsoft.com/office/drawing/2014/chart" uri="{C3380CC4-5D6E-409C-BE32-E72D297353CC}">
              <c16:uniqueId val="{00000003-D9D1-4EB4-947D-2BC7A3839B8D}"/>
            </c:ext>
          </c:extLst>
        </c:ser>
        <c:ser>
          <c:idx val="4"/>
          <c:order val="1"/>
          <c:tx>
            <c:v>Max_Penalty</c:v>
          </c:tx>
          <c:spPr>
            <a:ln w="19050" cap="rnd">
              <a:solidFill>
                <a:schemeClr val="accent4"/>
              </a:solidFill>
              <a:prstDash val="dash"/>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9D1-4EB4-947D-2BC7A3839B8D}"/>
                </c:ext>
              </c:extLst>
            </c:dLbl>
            <c:numFmt formatCode=";\-0.00%&quot; Max. Penalty&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 data'!$F$5,'Graphics data'!$F$12)</c:f>
              <c:numCache>
                <c:formatCode>General</c:formatCode>
                <c:ptCount val="2"/>
                <c:pt idx="0">
                  <c:v>0.16</c:v>
                </c:pt>
                <c:pt idx="1">
                  <c:v>0.21000000000000002</c:v>
                </c:pt>
              </c:numCache>
            </c:numRef>
          </c:xVal>
          <c:yVal>
            <c:numRef>
              <c:f>('Graphics data'!$F$13,'Graphics data'!$F$13)</c:f>
              <c:numCache>
                <c:formatCode>0.00%</c:formatCode>
                <c:ptCount val="2"/>
                <c:pt idx="0">
                  <c:v>-0.01</c:v>
                </c:pt>
                <c:pt idx="1">
                  <c:v>-0.01</c:v>
                </c:pt>
              </c:numCache>
            </c:numRef>
          </c:yVal>
          <c:smooth val="0"/>
          <c:extLst>
            <c:ext xmlns:c16="http://schemas.microsoft.com/office/drawing/2014/chart" uri="{C3380CC4-5D6E-409C-BE32-E72D297353CC}">
              <c16:uniqueId val="{00000005-D9D1-4EB4-947D-2BC7A3839B8D}"/>
            </c:ext>
          </c:extLst>
        </c:ser>
        <c:ser>
          <c:idx val="9"/>
          <c:order val="2"/>
          <c:tx>
            <c:v>Lower_dead_band</c:v>
          </c:tx>
          <c:spPr>
            <a:ln>
              <a:solidFill>
                <a:schemeClr val="tx1">
                  <a:lumMod val="50000"/>
                  <a:lumOff val="50000"/>
                </a:schemeClr>
              </a:solidFill>
            </a:ln>
          </c:spPr>
          <c:marker>
            <c:symbol val="none"/>
          </c:marker>
          <c:xVal>
            <c:numRef>
              <c:f>('Graphics data'!$K$9,'Graphics data'!$K$9)</c:f>
              <c:numCache>
                <c:formatCode>General</c:formatCode>
                <c:ptCount val="2"/>
                <c:pt idx="0">
                  <c:v>0.14000000000000001</c:v>
                </c:pt>
                <c:pt idx="1">
                  <c:v>0.14000000000000001</c:v>
                </c:pt>
              </c:numCache>
            </c:numRef>
          </c:xVal>
          <c:yVal>
            <c:numRef>
              <c:f>'Graphics data'!$K$10:$K$11</c:f>
              <c:numCache>
                <c:formatCode>General</c:formatCode>
                <c:ptCount val="2"/>
                <c:pt idx="0">
                  <c:v>-3.0000000000000001E-3</c:v>
                </c:pt>
                <c:pt idx="1">
                  <c:v>0</c:v>
                </c:pt>
              </c:numCache>
            </c:numRef>
          </c:yVal>
          <c:smooth val="0"/>
          <c:extLst>
            <c:ext xmlns:c16="http://schemas.microsoft.com/office/drawing/2014/chart" uri="{C3380CC4-5D6E-409C-BE32-E72D297353CC}">
              <c16:uniqueId val="{00000006-D9D1-4EB4-947D-2BC7A3839B8D}"/>
            </c:ext>
          </c:extLst>
        </c:ser>
        <c:ser>
          <c:idx val="10"/>
          <c:order val="3"/>
          <c:tx>
            <c:v>Upper_dead_band</c:v>
          </c:tx>
          <c:spPr>
            <a:ln>
              <a:solidFill>
                <a:schemeClr val="tx1">
                  <a:lumMod val="50000"/>
                  <a:lumOff val="50000"/>
                </a:schemeClr>
              </a:solidFill>
            </a:ln>
          </c:spPr>
          <c:marker>
            <c:symbol val="none"/>
          </c:marker>
          <c:xVal>
            <c:numRef>
              <c:f>('Graphics data'!$L$9,'Graphics data'!$L$9)</c:f>
              <c:numCache>
                <c:formatCode>General</c:formatCode>
                <c:ptCount val="2"/>
                <c:pt idx="0">
                  <c:v>0.18</c:v>
                </c:pt>
                <c:pt idx="1">
                  <c:v>0.18</c:v>
                </c:pt>
              </c:numCache>
            </c:numRef>
          </c:xVal>
          <c:yVal>
            <c:numRef>
              <c:f>'Graphics data'!$L$10:$L$11</c:f>
              <c:numCache>
                <c:formatCode>General</c:formatCode>
                <c:ptCount val="2"/>
                <c:pt idx="0">
                  <c:v>-3.0000000000000001E-3</c:v>
                </c:pt>
                <c:pt idx="1">
                  <c:v>0</c:v>
                </c:pt>
              </c:numCache>
            </c:numRef>
          </c:yVal>
          <c:smooth val="0"/>
          <c:extLst>
            <c:ext xmlns:c16="http://schemas.microsoft.com/office/drawing/2014/chart" uri="{C3380CC4-5D6E-409C-BE32-E72D297353CC}">
              <c16:uniqueId val="{00000007-D9D1-4EB4-947D-2BC7A3839B8D}"/>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D9D1-4EB4-947D-2BC7A3839B8D}"/>
                </c:ext>
              </c:extLst>
            </c:dLbl>
            <c:spPr>
              <a:noFill/>
              <a:ln>
                <a:noFill/>
              </a:ln>
              <a:effectLst/>
            </c:spPr>
            <c:txPr>
              <a:bodyPr rot="0" spcFirstLastPara="1" vertOverflow="ellipsis" vert="horz" wrap="square" lIns="38100" tIns="0" rIns="3810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data'!$F$12,'Graphics data'!$F$12)</c:f>
              <c:numCache>
                <c:formatCode>General</c:formatCode>
                <c:ptCount val="2"/>
                <c:pt idx="0">
                  <c:v>0.21000000000000002</c:v>
                </c:pt>
                <c:pt idx="1">
                  <c:v>0.21000000000000002</c:v>
                </c:pt>
              </c:numCache>
            </c:numRef>
          </c:xVal>
          <c:yVal>
            <c:numRef>
              <c:f>('Graphics data'!$F$13,'Graphics data'!$F$11)</c:f>
              <c:numCache>
                <c:formatCode>General</c:formatCode>
                <c:ptCount val="2"/>
                <c:pt idx="0" formatCode="0.00%">
                  <c:v>-0.01</c:v>
                </c:pt>
                <c:pt idx="1">
                  <c:v>0</c:v>
                </c:pt>
              </c:numCache>
            </c:numRef>
          </c:yVal>
          <c:smooth val="0"/>
          <c:extLst>
            <c:ext xmlns:c16="http://schemas.microsoft.com/office/drawing/2014/chart" uri="{C3380CC4-5D6E-409C-BE32-E72D297353CC}">
              <c16:uniqueId val="{00000009-D9D1-4EB4-947D-2BC7A3839B8D}"/>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n-US"/>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A-D9D1-4EB4-947D-2BC7A3839B8D}"/>
                </c:ext>
              </c:extLst>
            </c:dLbl>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ext>
            </c:extLst>
          </c:dLbls>
          <c:xVal>
            <c:numRef>
              <c:f>('Graphics data'!$F$8,'Graphics data'!$F$8)</c:f>
              <c:numCache>
                <c:formatCode>General</c:formatCode>
                <c:ptCount val="2"/>
                <c:pt idx="0">
                  <c:v>0.11</c:v>
                </c:pt>
                <c:pt idx="1">
                  <c:v>0.11</c:v>
                </c:pt>
              </c:numCache>
            </c:numRef>
          </c:xVal>
          <c:yVal>
            <c:numRef>
              <c:f>('Graphics data'!$F$7,'Graphics data'!$F$9)</c:f>
              <c:numCache>
                <c:formatCode>0.00%</c:formatCode>
                <c:ptCount val="2"/>
                <c:pt idx="0" formatCode="General">
                  <c:v>0</c:v>
                </c:pt>
                <c:pt idx="1">
                  <c:v>0.01</c:v>
                </c:pt>
              </c:numCache>
            </c:numRef>
          </c:yVal>
          <c:smooth val="0"/>
          <c:extLst>
            <c:ext xmlns:c16="http://schemas.microsoft.com/office/drawing/2014/chart" uri="{C3380CC4-5D6E-409C-BE32-E72D297353CC}">
              <c16:uniqueId val="{0000000B-D9D1-4EB4-947D-2BC7A3839B8D}"/>
            </c:ext>
          </c:extLst>
        </c:ser>
        <c:ser>
          <c:idx val="0"/>
          <c:order val="6"/>
          <c:tx>
            <c:v>Bonus</c:v>
          </c:tx>
          <c:spPr>
            <a:ln w="22225" cap="rnd">
              <a:solidFill>
                <a:schemeClr val="accent3"/>
              </a:solidFill>
              <a:round/>
            </a:ln>
            <a:effectLst/>
          </c:spPr>
          <c:marker>
            <c:symbol val="circle"/>
            <c:size val="5"/>
            <c:spPr>
              <a:solidFill>
                <a:schemeClr val="accent3"/>
              </a:solidFill>
              <a:ln w="9525">
                <a:noFill/>
              </a:ln>
              <a:effectLst/>
            </c:spPr>
          </c:marker>
          <c:dPt>
            <c:idx val="2"/>
            <c:marker>
              <c:symbol val="none"/>
            </c:marker>
            <c:bubble3D val="0"/>
            <c:extLst>
              <c:ext xmlns:c16="http://schemas.microsoft.com/office/drawing/2014/chart" uri="{C3380CC4-5D6E-409C-BE32-E72D297353CC}">
                <c16:uniqueId val="{0000000C-D9D1-4EB4-947D-2BC7A3839B8D}"/>
              </c:ext>
            </c:extLst>
          </c:dPt>
          <c:dLbls>
            <c:dLbl>
              <c:idx val="0"/>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D9D1-4EB4-947D-2BC7A3839B8D}"/>
                </c:ext>
              </c:extLst>
            </c:dLbl>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data'!$F$6,'Graphics data'!$F$8,'Graphics data'!$F$14)</c:f>
              <c:numCache>
                <c:formatCode>General</c:formatCode>
                <c:ptCount val="3"/>
                <c:pt idx="0">
                  <c:v>0.14000000000000001</c:v>
                </c:pt>
                <c:pt idx="1">
                  <c:v>0.11</c:v>
                </c:pt>
                <c:pt idx="2">
                  <c:v>8.8999999999999996E-2</c:v>
                </c:pt>
              </c:numCache>
            </c:numRef>
          </c:xVal>
          <c:yVal>
            <c:numRef>
              <c:f>('Graphics data'!$F$7,'Graphics data'!$F$9,'Graphics data'!$F$15)</c:f>
              <c:numCache>
                <c:formatCode>0.00%</c:formatCode>
                <c:ptCount val="3"/>
                <c:pt idx="0" formatCode="General">
                  <c:v>0</c:v>
                </c:pt>
                <c:pt idx="1">
                  <c:v>0.01</c:v>
                </c:pt>
                <c:pt idx="2">
                  <c:v>0.01</c:v>
                </c:pt>
              </c:numCache>
            </c:numRef>
          </c:yVal>
          <c:smooth val="0"/>
          <c:extLst>
            <c:ext xmlns:c16="http://schemas.microsoft.com/office/drawing/2014/chart" uri="{C3380CC4-5D6E-409C-BE32-E72D297353CC}">
              <c16:uniqueId val="{0000000E-D9D1-4EB4-947D-2BC7A3839B8D}"/>
            </c:ext>
          </c:extLst>
        </c:ser>
        <c:ser>
          <c:idx val="1"/>
          <c:order val="7"/>
          <c:tx>
            <c:v>Penalty</c:v>
          </c:tx>
          <c:spPr>
            <a:ln w="22225" cap="rnd">
              <a:solidFill>
                <a:schemeClr val="accent2"/>
              </a:solidFill>
              <a:round/>
            </a:ln>
            <a:effectLst/>
          </c:spPr>
          <c:marker>
            <c:symbol val="circle"/>
            <c:size val="5"/>
            <c:spPr>
              <a:solidFill>
                <a:schemeClr val="accent2"/>
              </a:solidFill>
              <a:ln w="9525">
                <a:noFill/>
              </a:ln>
              <a:effectLst/>
            </c:spPr>
          </c:marker>
          <c:dPt>
            <c:idx val="2"/>
            <c:marker>
              <c:symbol val="none"/>
            </c:marker>
            <c:bubble3D val="0"/>
            <c:extLst>
              <c:ext xmlns:c16="http://schemas.microsoft.com/office/drawing/2014/chart" uri="{C3380CC4-5D6E-409C-BE32-E72D297353CC}">
                <c16:uniqueId val="{0000000F-D9D1-4EB4-947D-2BC7A3839B8D}"/>
              </c:ext>
            </c:extLst>
          </c:dPt>
          <c:dLbls>
            <c:dLbl>
              <c:idx val="0"/>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9D1-4EB4-947D-2BC7A3839B8D}"/>
                </c:ext>
              </c:extLst>
            </c:dLbl>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data'!$F$10,'Graphics data'!$F$12,'Graphics data'!$F$16)</c:f>
              <c:numCache>
                <c:formatCode>General</c:formatCode>
                <c:ptCount val="3"/>
                <c:pt idx="0">
                  <c:v>0.18</c:v>
                </c:pt>
                <c:pt idx="1">
                  <c:v>0.21000000000000002</c:v>
                </c:pt>
                <c:pt idx="2">
                  <c:v>0.23100000000000004</c:v>
                </c:pt>
              </c:numCache>
            </c:numRef>
          </c:xVal>
          <c:yVal>
            <c:numRef>
              <c:f>('Graphics data'!$F$11,'Graphics data'!$F$13,'Graphics data'!$F$17)</c:f>
              <c:numCache>
                <c:formatCode>0.00%</c:formatCode>
                <c:ptCount val="3"/>
                <c:pt idx="0" formatCode="General">
                  <c:v>0</c:v>
                </c:pt>
                <c:pt idx="1">
                  <c:v>-0.01</c:v>
                </c:pt>
                <c:pt idx="2">
                  <c:v>-0.01</c:v>
                </c:pt>
              </c:numCache>
            </c:numRef>
          </c:yVal>
          <c:smooth val="0"/>
          <c:extLst>
            <c:ext xmlns:c16="http://schemas.microsoft.com/office/drawing/2014/chart" uri="{C3380CC4-5D6E-409C-BE32-E72D297353CC}">
              <c16:uniqueId val="{00000011-D9D1-4EB4-947D-2BC7A3839B8D}"/>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n-US"/>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2-D9D1-4EB4-947D-2BC7A3839B8D}"/>
                </c:ext>
              </c:extLst>
            </c:dLbl>
            <c:spPr>
              <a:solidFill>
                <a:schemeClr val="bg1">
                  <a:alpha val="75000"/>
                </a:schemeClr>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('Graphics data'!$F$5,'Graphics data'!$F$5,'Graphics data'!$F$5)</c:f>
              <c:numCache>
                <c:formatCode>General</c:formatCode>
                <c:ptCount val="3"/>
                <c:pt idx="0">
                  <c:v>0.16</c:v>
                </c:pt>
                <c:pt idx="1">
                  <c:v>0.16</c:v>
                </c:pt>
                <c:pt idx="2">
                  <c:v>0.16</c:v>
                </c:pt>
              </c:numCache>
            </c:numRef>
          </c:xVal>
          <c:yVal>
            <c:numRef>
              <c:f>('Graphics data'!$I$7,'Graphics data'!$F$7,'Graphics data'!$J$7)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3-D9D1-4EB4-947D-2BC7A3839B8D}"/>
            </c:ext>
          </c:extLst>
        </c:ser>
        <c:ser>
          <c:idx val="7"/>
          <c:order val="9"/>
          <c:tx>
            <c:strRef>
              <c:f>'Graphics data'!$J$9</c:f>
              <c:strCache>
                <c:ptCount val="1"/>
                <c:pt idx="0">
                  <c:v>y = -0.333x+0.06</c:v>
                </c:pt>
              </c:strCache>
            </c:strRef>
          </c:tx>
          <c:marker>
            <c:symbol val="none"/>
          </c:marker>
          <c:dLbls>
            <c:spPr>
              <a:noFill/>
              <a:ln>
                <a:noFill/>
              </a:ln>
              <a:effectLst/>
            </c:spPr>
            <c:txPr>
              <a:bodyPr wrap="square" lIns="38100" tIns="19050" rIns="38100" bIns="19050" anchor="ctr">
                <a:spAutoFit/>
              </a:bodyPr>
              <a:lstStyle/>
              <a:p>
                <a:pPr>
                  <a:defRPr i="1"/>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'Graphics data'!$J$11</c:f>
              <c:numCache>
                <c:formatCode>General</c:formatCode>
                <c:ptCount val="1"/>
                <c:pt idx="0">
                  <c:v>0.2</c:v>
                </c:pt>
              </c:numCache>
            </c:numRef>
          </c:xVal>
          <c:yVal>
            <c:numRef>
              <c:f>'Graphics data'!$J$12</c:f>
              <c:numCache>
                <c:formatCode>General</c:formatCode>
                <c:ptCount val="1"/>
                <c:pt idx="0">
                  <c:v>-7.2666666666666678E-3</c:v>
                </c:pt>
              </c:numCache>
            </c:numRef>
          </c:yVal>
          <c:smooth val="0"/>
          <c:extLst>
            <c:ext xmlns:c16="http://schemas.microsoft.com/office/drawing/2014/chart" uri="{C3380CC4-5D6E-409C-BE32-E72D297353CC}">
              <c16:uniqueId val="{00000014-D9D1-4EB4-947D-2BC7A3839B8D}"/>
            </c:ext>
          </c:extLst>
        </c:ser>
        <c:ser>
          <c:idx val="8"/>
          <c:order val="10"/>
          <c:tx>
            <c:strRef>
              <c:f>'Graphics data'!$I$9</c:f>
              <c:strCache>
                <c:ptCount val="1"/>
                <c:pt idx="0">
                  <c:v>y = -0.333x+0.047</c:v>
                </c:pt>
              </c:strCache>
            </c:strRef>
          </c:tx>
          <c:marker>
            <c:symbol val="none"/>
          </c:marker>
          <c:dLbls>
            <c:spPr>
              <a:noFill/>
              <a:ln>
                <a:noFill/>
              </a:ln>
              <a:effectLst/>
            </c:spPr>
            <c:txPr>
              <a:bodyPr wrap="square" lIns="39600" tIns="19050" rIns="39600" bIns="18000" anchor="ctr">
                <a:spAutoFit/>
              </a:bodyPr>
              <a:lstStyle/>
              <a:p>
                <a:pPr>
                  <a:defRPr i="1"/>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xVal>
            <c:numRef>
              <c:f>'Graphics data'!$I$11</c:f>
              <c:numCache>
                <c:formatCode>General</c:formatCode>
                <c:ptCount val="1"/>
                <c:pt idx="0">
                  <c:v>0.12000000000000001</c:v>
                </c:pt>
              </c:numCache>
            </c:numRef>
          </c:xVal>
          <c:yVal>
            <c:numRef>
              <c:f>'Graphics data'!$I$12</c:f>
              <c:numCache>
                <c:formatCode>General</c:formatCode>
                <c:ptCount val="1"/>
                <c:pt idx="0">
                  <c:v>7.2666666666666678E-3</c:v>
                </c:pt>
              </c:numCache>
            </c:numRef>
          </c:yVal>
          <c:smooth val="0"/>
          <c:extLst>
            <c:ext xmlns:c16="http://schemas.microsoft.com/office/drawing/2014/chart" uri="{C3380CC4-5D6E-409C-BE32-E72D297353CC}">
              <c16:uniqueId val="{00000015-D9D1-4EB4-947D-2BC7A3839B8D}"/>
            </c:ext>
          </c:extLst>
        </c:ser>
        <c:ser>
          <c:idx val="11"/>
          <c:order val="11"/>
          <c:tx>
            <c:strRef>
              <c:f>'Graphics data'!$M$8</c:f>
              <c:strCache>
                <c:ptCount val="1"/>
                <c:pt idx="0">
                  <c:v>→ Dead band ←</c:v>
                </c:pt>
              </c:strCache>
            </c:strRef>
          </c:tx>
          <c:marker>
            <c:symbol val="none"/>
          </c:marker>
          <c:dLbls>
            <c:spPr>
              <a:noFill/>
              <a:ln>
                <a:noFill/>
              </a:ln>
              <a:effectLst/>
            </c:spPr>
            <c:txPr>
              <a:bodyPr wrap="square" lIns="38100" tIns="19050" rIns="38100" bIns="19050" anchor="ctr">
                <a:spAutoFit/>
              </a:bodyPr>
              <a:lstStyle/>
              <a:p>
                <a:pPr>
                  <a:defRPr b="1">
                    <a:solidFill>
                      <a:schemeClr val="tx2"/>
                    </a:solidFill>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'Graphics data'!$M$9</c:f>
              <c:numCache>
                <c:formatCode>General</c:formatCode>
                <c:ptCount val="1"/>
                <c:pt idx="0">
                  <c:v>0.16</c:v>
                </c:pt>
              </c:numCache>
            </c:numRef>
          </c:xVal>
          <c:yVal>
            <c:numRef>
              <c:f>'Graphics data'!$M$10</c:f>
              <c:numCache>
                <c:formatCode>General</c:formatCode>
                <c:ptCount val="1"/>
                <c:pt idx="0">
                  <c:v>5.4999999999999997E-3</c:v>
                </c:pt>
              </c:numCache>
            </c:numRef>
          </c:yVal>
          <c:smooth val="0"/>
          <c:extLst>
            <c:ext xmlns:c16="http://schemas.microsoft.com/office/drawing/2014/chart" uri="{C3380CC4-5D6E-409C-BE32-E72D297353CC}">
              <c16:uniqueId val="{00000016-D9D1-4EB4-947D-2BC7A3839B8D}"/>
            </c:ext>
          </c:extLst>
        </c:ser>
        <c:ser>
          <c:idx val="12"/>
          <c:order val="12"/>
          <c:tx>
            <c:strRef>
              <c:f>'Graphics data'!$N$8</c:f>
              <c:strCache>
                <c:ptCount val="1"/>
                <c:pt idx="0">
                  <c:v>Zero line</c:v>
                </c:pt>
              </c:strCache>
            </c:strRef>
          </c:tx>
          <c:spPr>
            <a:ln w="19050">
              <a:solidFill>
                <a:schemeClr val="bg1">
                  <a:lumMod val="50000"/>
                </a:schemeClr>
              </a:solidFill>
              <a:prstDash val="sysDot"/>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D9D1-4EB4-947D-2BC7A3839B8D}"/>
                </c:ext>
              </c:extLst>
            </c:dLbl>
            <c:dLbl>
              <c:idx val="2"/>
              <c:delete val="1"/>
              <c:extLst>
                <c:ext xmlns:c15="http://schemas.microsoft.com/office/drawing/2012/chart" uri="{CE6537A1-D6FC-4f65-9D91-7224C49458BB}"/>
                <c:ext xmlns:c16="http://schemas.microsoft.com/office/drawing/2014/chart" uri="{C3380CC4-5D6E-409C-BE32-E72D297353CC}">
                  <c16:uniqueId val="{00000018-D9D1-4EB4-947D-2BC7A3839B8D}"/>
                </c:ext>
              </c:extLst>
            </c:dLbl>
            <c:numFmt formatCode="0&quot;'&quot;" sourceLinked="0"/>
            <c:spPr>
              <a:solidFill>
                <a:schemeClr val="bg1"/>
              </a:solidFill>
              <a:ln>
                <a:noFill/>
              </a:ln>
              <a:effectLst/>
            </c:spPr>
            <c:txPr>
              <a:bodyPr wrap="square" lIns="38100" tIns="19050" rIns="38100" bIns="19050" anchor="ctr">
                <a:spAutoFit/>
              </a:bodyPr>
              <a:lstStyle/>
              <a:p>
                <a:pPr>
                  <a:defRPr i="1"/>
                </a:pPr>
                <a:endParaRPr lang="en-US"/>
              </a:p>
            </c:txPr>
            <c:dLblPos val="b"/>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('Graphics data'!$N$9,'Graphics data'!$N$9,'Graphics data'!$N$9)</c:f>
              <c:numCache>
                <c:formatCode>General</c:formatCode>
                <c:ptCount val="3"/>
                <c:pt idx="0">
                  <c:v>0</c:v>
                </c:pt>
                <c:pt idx="1">
                  <c:v>0</c:v>
                </c:pt>
                <c:pt idx="2">
                  <c:v>0</c:v>
                </c:pt>
              </c:numCache>
            </c:numRef>
          </c:xVal>
          <c:yVal>
            <c:numRef>
              <c:f>'Graphics data'!$Q$6:$Q$8</c:f>
              <c:numCache>
                <c:formatCode>0.00%</c:formatCode>
                <c:ptCount val="3"/>
                <c:pt idx="0">
                  <c:v>-0.01</c:v>
                </c:pt>
                <c:pt idx="1">
                  <c:v>0</c:v>
                </c:pt>
                <c:pt idx="2">
                  <c:v>1.2E-2</c:v>
                </c:pt>
              </c:numCache>
            </c:numRef>
          </c:yVal>
          <c:smooth val="0"/>
          <c:extLst>
            <c:ext xmlns:c16="http://schemas.microsoft.com/office/drawing/2014/chart" uri="{C3380CC4-5D6E-409C-BE32-E72D297353CC}">
              <c16:uniqueId val="{00000019-D9D1-4EB4-947D-2BC7A3839B8D}"/>
            </c:ext>
          </c:extLst>
        </c:ser>
        <c:dLbls>
          <c:showLegendKey val="0"/>
          <c:showVal val="0"/>
          <c:showCatName val="0"/>
          <c:showSerName val="0"/>
          <c:showPercent val="0"/>
          <c:showBubbleSize val="0"/>
        </c:dLbls>
        <c:axId val="164687872"/>
        <c:axId val="164689408"/>
      </c:scatterChart>
      <c:valAx>
        <c:axId val="164687872"/>
        <c:scaling>
          <c:orientation val="minMax"/>
          <c:max val="0.23810000000000003"/>
          <c:min val="8.1900000000000001E-2"/>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689408"/>
        <c:crosses val="autoZero"/>
        <c:crossBetween val="midCat"/>
      </c:valAx>
      <c:valAx>
        <c:axId val="164689408"/>
        <c:scaling>
          <c:orientation val="minMax"/>
        </c:scaling>
        <c:delete val="0"/>
        <c:axPos val="l"/>
        <c:numFmt formatCode="0.0%;\-0.0%"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4687872"/>
        <c:crosses val="autoZero"/>
        <c:crossBetween val="midCat"/>
        <c:majorUnit val="5.0000000000000114E-3"/>
      </c:valAx>
      <c:valAx>
        <c:axId val="164690944"/>
        <c:scaling>
          <c:orientation val="minMax"/>
        </c:scaling>
        <c:delete val="1"/>
        <c:axPos val="r"/>
        <c:numFmt formatCode="0.00%" sourceLinked="1"/>
        <c:majorTickMark val="out"/>
        <c:minorTickMark val="none"/>
        <c:tickLblPos val="none"/>
        <c:crossAx val="164696832"/>
        <c:crosses val="max"/>
        <c:crossBetween val="between"/>
      </c:valAx>
      <c:dateAx>
        <c:axId val="164696832"/>
        <c:scaling>
          <c:orientation val="minMax"/>
        </c:scaling>
        <c:delete val="1"/>
        <c:axPos val="t"/>
        <c:numFmt formatCode="General" sourceLinked="1"/>
        <c:majorTickMark val="out"/>
        <c:minorTickMark val="none"/>
        <c:tickLblPos val="none"/>
        <c:crossAx val="164690944"/>
        <c:crosses val="max"/>
        <c:auto val="0"/>
        <c:lblOffset val="100"/>
        <c:baseTimeUnit val="days"/>
      </c:date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0167" l="0.70000000000000062" r="0.70000000000000062" t="0.7500000000000016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275058275058036E-2"/>
          <c:y val="2.7340543338431663E-2"/>
          <c:w val="0.8486469922966966"/>
          <c:h val="0.92111305651876463"/>
        </c:manualLayout>
      </c:layout>
      <c:scatterChart>
        <c:scatterStyle val="lineMarker"/>
        <c:varyColors val="0"/>
        <c:ser>
          <c:idx val="3"/>
          <c:order val="0"/>
          <c:tx>
            <c:v>Max_Bonus</c:v>
          </c:tx>
          <c:spPr>
            <a:ln w="15875" cap="rnd">
              <a:solidFill>
                <a:schemeClr val="accent4"/>
              </a:solidFill>
              <a:prstDash val="dash"/>
              <a:round/>
            </a:ln>
            <a:effectLst/>
          </c:spPr>
          <c:marker>
            <c:symbol val="none"/>
          </c:marker>
          <c:dLbls>
            <c:dLbl>
              <c:idx val="1"/>
              <c:numFmt formatCode="\+0.00%&quot; Max. Bonu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03-454F-A788-87143CDD1021}"/>
                </c:ext>
              </c:extLst>
            </c:dLbl>
            <c:numFmt formatCode="0.00%&quot; Max. Bonus&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 data'!$Z$8,'Graphics data'!$Z$5)</c:f>
              <c:numCache>
                <c:formatCode>General</c:formatCode>
                <c:ptCount val="2"/>
                <c:pt idx="0">
                  <c:v>0</c:v>
                </c:pt>
                <c:pt idx="1">
                  <c:v>0</c:v>
                </c:pt>
              </c:numCache>
            </c:numRef>
          </c:xVal>
          <c:yVal>
            <c:numRef>
              <c:f>('Graphics data'!$Z$9,'Graphics data'!$Z$9)</c:f>
              <c:numCache>
                <c:formatCode>0.00%</c:formatCode>
                <c:ptCount val="2"/>
                <c:pt idx="0">
                  <c:v>0</c:v>
                </c:pt>
                <c:pt idx="1">
                  <c:v>0</c:v>
                </c:pt>
              </c:numCache>
            </c:numRef>
          </c:yVal>
          <c:smooth val="0"/>
          <c:extLst>
            <c:ext xmlns:c16="http://schemas.microsoft.com/office/drawing/2014/chart" uri="{C3380CC4-5D6E-409C-BE32-E72D297353CC}">
              <c16:uniqueId val="{00000001-5703-454F-A788-87143CDD1021}"/>
            </c:ext>
          </c:extLst>
        </c:ser>
        <c:ser>
          <c:idx val="4"/>
          <c:order val="1"/>
          <c:tx>
            <c:v>Max_Penalty</c:v>
          </c:tx>
          <c:spPr>
            <a:ln w="19050" cap="rnd">
              <a:solidFill>
                <a:schemeClr val="accent4"/>
              </a:solidFill>
              <a:prstDash val="dash"/>
              <a:round/>
            </a:ln>
            <a:effectLst/>
          </c:spPr>
          <c:marker>
            <c:symbol val="none"/>
          </c:marker>
          <c:dLbls>
            <c:dLbl>
              <c:idx val="0"/>
              <c:dLblPos val="l"/>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03-454F-A788-87143CDD1021}"/>
                </c:ext>
              </c:extLst>
            </c:dLbl>
            <c:numFmt formatCode=";\-0.00%&quot; Max. Penalty&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('Graphics data'!$Z$5,'Graphics data'!$Z$12)</c:f>
              <c:numCache>
                <c:formatCode>General</c:formatCode>
                <c:ptCount val="2"/>
                <c:pt idx="0">
                  <c:v>0</c:v>
                </c:pt>
                <c:pt idx="1">
                  <c:v>0</c:v>
                </c:pt>
              </c:numCache>
            </c:numRef>
          </c:xVal>
          <c:yVal>
            <c:numRef>
              <c:f>('Graphics data'!$Z$13,'Graphics data'!$Z$13)</c:f>
              <c:numCache>
                <c:formatCode>0.00%</c:formatCode>
                <c:ptCount val="2"/>
                <c:pt idx="0">
                  <c:v>0</c:v>
                </c:pt>
                <c:pt idx="1">
                  <c:v>0</c:v>
                </c:pt>
              </c:numCache>
            </c:numRef>
          </c:yVal>
          <c:smooth val="0"/>
          <c:extLst>
            <c:ext xmlns:c16="http://schemas.microsoft.com/office/drawing/2014/chart" uri="{C3380CC4-5D6E-409C-BE32-E72D297353CC}">
              <c16:uniqueId val="{00000003-5703-454F-A788-87143CDD1021}"/>
            </c:ext>
          </c:extLst>
        </c:ser>
        <c:ser>
          <c:idx val="9"/>
          <c:order val="2"/>
          <c:tx>
            <c:v>Lower_dead_band</c:v>
          </c:tx>
          <c:spPr>
            <a:ln>
              <a:solidFill>
                <a:schemeClr val="tx1">
                  <a:lumMod val="50000"/>
                  <a:lumOff val="50000"/>
                </a:schemeClr>
              </a:solidFill>
            </a:ln>
          </c:spPr>
          <c:marker>
            <c:symbol val="none"/>
          </c:marker>
          <c:xVal>
            <c:numRef>
              <c:f>('Graphics data'!$AE$9,'Graphics data'!$AE$9)</c:f>
              <c:numCache>
                <c:formatCode>General</c:formatCode>
                <c:ptCount val="2"/>
                <c:pt idx="0">
                  <c:v>0</c:v>
                </c:pt>
                <c:pt idx="1">
                  <c:v>0</c:v>
                </c:pt>
              </c:numCache>
            </c:numRef>
          </c:xVal>
          <c:yVal>
            <c:numRef>
              <c:f>'Graphics data'!$AE$10:$AE$11</c:f>
              <c:numCache>
                <c:formatCode>General</c:formatCode>
                <c:ptCount val="2"/>
                <c:pt idx="0">
                  <c:v>-3.0000000000000001E-3</c:v>
                </c:pt>
                <c:pt idx="1">
                  <c:v>0</c:v>
                </c:pt>
              </c:numCache>
            </c:numRef>
          </c:yVal>
          <c:smooth val="0"/>
          <c:extLst>
            <c:ext xmlns:c16="http://schemas.microsoft.com/office/drawing/2014/chart" uri="{C3380CC4-5D6E-409C-BE32-E72D297353CC}">
              <c16:uniqueId val="{00000004-5703-454F-A788-87143CDD1021}"/>
            </c:ext>
          </c:extLst>
        </c:ser>
        <c:ser>
          <c:idx val="10"/>
          <c:order val="3"/>
          <c:tx>
            <c:v>Upper_dead_band</c:v>
          </c:tx>
          <c:spPr>
            <a:ln>
              <a:solidFill>
                <a:schemeClr val="tx1">
                  <a:lumMod val="50000"/>
                  <a:lumOff val="50000"/>
                </a:schemeClr>
              </a:solidFill>
            </a:ln>
          </c:spPr>
          <c:marker>
            <c:symbol val="none"/>
          </c:marker>
          <c:xVal>
            <c:numRef>
              <c:f>('Graphics data'!$AF$9,'Graphics data'!$AF$9)</c:f>
              <c:numCache>
                <c:formatCode>General</c:formatCode>
                <c:ptCount val="2"/>
                <c:pt idx="0">
                  <c:v>0</c:v>
                </c:pt>
                <c:pt idx="1">
                  <c:v>0</c:v>
                </c:pt>
              </c:numCache>
            </c:numRef>
          </c:xVal>
          <c:yVal>
            <c:numRef>
              <c:f>'Graphics data'!$AF$10:$AF$11</c:f>
              <c:numCache>
                <c:formatCode>General</c:formatCode>
                <c:ptCount val="2"/>
                <c:pt idx="0">
                  <c:v>-3.0000000000000001E-3</c:v>
                </c:pt>
                <c:pt idx="1">
                  <c:v>0</c:v>
                </c:pt>
              </c:numCache>
            </c:numRef>
          </c:yVal>
          <c:smooth val="0"/>
          <c:extLst>
            <c:ext xmlns:c16="http://schemas.microsoft.com/office/drawing/2014/chart" uri="{C3380CC4-5D6E-409C-BE32-E72D297353CC}">
              <c16:uniqueId val="{00000005-5703-454F-A788-87143CDD1021}"/>
            </c:ext>
          </c:extLst>
        </c:ser>
        <c:ser>
          <c:idx val="5"/>
          <c:order val="4"/>
          <c:tx>
            <c:v>Max_delay</c:v>
          </c:tx>
          <c:spPr>
            <a:ln w="19050" cap="rnd">
              <a:solidFill>
                <a:schemeClr val="accent4"/>
              </a:solidFill>
              <a:prstDash val="dash"/>
              <a:round/>
            </a:ln>
            <a:effectLst/>
          </c:spPr>
          <c:marker>
            <c:symbol val="none"/>
          </c:marker>
          <c:dLbls>
            <c:dLbl>
              <c:idx val="1"/>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6-5703-454F-A788-87143CDD1021}"/>
                </c:ext>
              </c:extLst>
            </c:dLbl>
            <c:spPr>
              <a:noFill/>
              <a:ln>
                <a:noFill/>
              </a:ln>
              <a:effectLst/>
            </c:spPr>
            <c:txPr>
              <a:bodyPr rot="0" spcFirstLastPara="1" vertOverflow="ellipsis" vert="horz" wrap="square" lIns="38100" tIns="0" rIns="38100" bIns="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data'!$Z$12,'Graphics data'!$Z$12)</c:f>
              <c:numCache>
                <c:formatCode>General</c:formatCode>
                <c:ptCount val="2"/>
                <c:pt idx="0">
                  <c:v>0</c:v>
                </c:pt>
                <c:pt idx="1">
                  <c:v>0</c:v>
                </c:pt>
              </c:numCache>
            </c:numRef>
          </c:xVal>
          <c:yVal>
            <c:numRef>
              <c:f>('Graphics data'!$X$13,'Graphics data'!$X$11)</c:f>
              <c:numCache>
                <c:formatCode>General</c:formatCode>
                <c:ptCount val="2"/>
                <c:pt idx="0" formatCode="0.00%">
                  <c:v>0</c:v>
                </c:pt>
                <c:pt idx="1">
                  <c:v>0</c:v>
                </c:pt>
              </c:numCache>
            </c:numRef>
          </c:yVal>
          <c:smooth val="0"/>
          <c:extLst>
            <c:ext xmlns:c16="http://schemas.microsoft.com/office/drawing/2014/chart" uri="{C3380CC4-5D6E-409C-BE32-E72D297353CC}">
              <c16:uniqueId val="{00000007-5703-454F-A788-87143CDD1021}"/>
            </c:ext>
          </c:extLst>
        </c:ser>
        <c:ser>
          <c:idx val="6"/>
          <c:order val="5"/>
          <c:tx>
            <c:v>Min_delay</c:v>
          </c:tx>
          <c:spPr>
            <a:ln w="19050">
              <a:solidFill>
                <a:schemeClr val="accent4"/>
              </a:solidFill>
              <a:prstDash val="dash"/>
            </a:ln>
          </c:spPr>
          <c:marker>
            <c:symbol val="none"/>
          </c:marker>
          <c:dLbls>
            <c:dLbl>
              <c:idx val="0"/>
              <c:numFmt formatCode="0.000" sourceLinked="0"/>
              <c:spPr>
                <a:solidFill>
                  <a:schemeClr val="bg1"/>
                </a:solidFill>
                <a:ln>
                  <a:noFill/>
                </a:ln>
                <a:effectLst/>
              </c:spPr>
              <c:txPr>
                <a:bodyPr wrap="square" lIns="38100" tIns="0" rIns="38100" bIns="0" anchor="ctr">
                  <a:spAutoFit/>
                </a:bodyPr>
                <a:lstStyle/>
                <a:p>
                  <a:pPr>
                    <a:defRPr sz="900" i="1"/>
                  </a:pPr>
                  <a:endParaRPr lang="en-US"/>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8-5703-454F-A788-87143CDD1021}"/>
                </c:ext>
              </c:extLst>
            </c:dLbl>
            <c:spPr>
              <a:solidFill>
                <a:schemeClr val="bg1"/>
              </a:solid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ext>
            </c:extLst>
          </c:dLbls>
          <c:xVal>
            <c:numRef>
              <c:f>('Graphics data'!$Z$8,'Graphics data'!$Z$8)</c:f>
              <c:numCache>
                <c:formatCode>General</c:formatCode>
                <c:ptCount val="2"/>
                <c:pt idx="0">
                  <c:v>0</c:v>
                </c:pt>
                <c:pt idx="1">
                  <c:v>0</c:v>
                </c:pt>
              </c:numCache>
            </c:numRef>
          </c:xVal>
          <c:yVal>
            <c:numRef>
              <c:f>('Graphics data'!$Z$7,'Graphics data'!$Z$9)</c:f>
              <c:numCache>
                <c:formatCode>0.00%</c:formatCode>
                <c:ptCount val="2"/>
                <c:pt idx="0" formatCode="General">
                  <c:v>0</c:v>
                </c:pt>
                <c:pt idx="1">
                  <c:v>0</c:v>
                </c:pt>
              </c:numCache>
            </c:numRef>
          </c:yVal>
          <c:smooth val="0"/>
          <c:extLst>
            <c:ext xmlns:c16="http://schemas.microsoft.com/office/drawing/2014/chart" uri="{C3380CC4-5D6E-409C-BE32-E72D297353CC}">
              <c16:uniqueId val="{00000009-5703-454F-A788-87143CDD1021}"/>
            </c:ext>
          </c:extLst>
        </c:ser>
        <c:ser>
          <c:idx val="0"/>
          <c:order val="6"/>
          <c:tx>
            <c:v>Bonus</c:v>
          </c:tx>
          <c:spPr>
            <a:ln w="22225" cap="rnd">
              <a:solidFill>
                <a:schemeClr val="accent3"/>
              </a:solidFill>
              <a:round/>
            </a:ln>
            <a:effectLst/>
          </c:spPr>
          <c:marker>
            <c:symbol val="circle"/>
            <c:size val="5"/>
            <c:spPr>
              <a:solidFill>
                <a:schemeClr val="accent3"/>
              </a:solidFill>
              <a:ln w="9525">
                <a:noFill/>
              </a:ln>
              <a:effectLst/>
            </c:spPr>
          </c:marker>
          <c:dPt>
            <c:idx val="2"/>
            <c:marker>
              <c:symbol val="none"/>
            </c:marker>
            <c:bubble3D val="0"/>
            <c:extLst>
              <c:ext xmlns:c16="http://schemas.microsoft.com/office/drawing/2014/chart" uri="{C3380CC4-5D6E-409C-BE32-E72D297353CC}">
                <c16:uniqueId val="{0000000A-5703-454F-A788-87143CDD1021}"/>
              </c:ext>
            </c:extLst>
          </c:dPt>
          <c:dLbls>
            <c:dLbl>
              <c:idx val="0"/>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5703-454F-A788-87143CDD1021}"/>
                </c:ext>
              </c:extLst>
            </c:dLbl>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data'!$Z$6,'Graphics data'!$Z$8,'Graphics data'!$Z$14)</c:f>
              <c:numCache>
                <c:formatCode>General</c:formatCode>
                <c:ptCount val="3"/>
                <c:pt idx="0">
                  <c:v>0</c:v>
                </c:pt>
                <c:pt idx="1">
                  <c:v>0</c:v>
                </c:pt>
                <c:pt idx="2">
                  <c:v>0</c:v>
                </c:pt>
              </c:numCache>
            </c:numRef>
          </c:xVal>
          <c:yVal>
            <c:numRef>
              <c:f>('Graphics data'!$Z$7,'Graphics data'!$Z$9,'Graphics data'!$Z$15)</c:f>
              <c:numCache>
                <c:formatCode>0.00%</c:formatCode>
                <c:ptCount val="3"/>
                <c:pt idx="0" formatCode="General">
                  <c:v>0</c:v>
                </c:pt>
                <c:pt idx="1">
                  <c:v>0</c:v>
                </c:pt>
                <c:pt idx="2">
                  <c:v>0</c:v>
                </c:pt>
              </c:numCache>
            </c:numRef>
          </c:yVal>
          <c:smooth val="0"/>
          <c:extLst>
            <c:ext xmlns:c16="http://schemas.microsoft.com/office/drawing/2014/chart" uri="{C3380CC4-5D6E-409C-BE32-E72D297353CC}">
              <c16:uniqueId val="{0000000C-5703-454F-A788-87143CDD1021}"/>
            </c:ext>
          </c:extLst>
        </c:ser>
        <c:ser>
          <c:idx val="1"/>
          <c:order val="7"/>
          <c:tx>
            <c:v>Penalty</c:v>
          </c:tx>
          <c:spPr>
            <a:ln w="22225" cap="rnd">
              <a:solidFill>
                <a:schemeClr val="accent2"/>
              </a:solidFill>
              <a:round/>
            </a:ln>
            <a:effectLst/>
          </c:spPr>
          <c:marker>
            <c:symbol val="circle"/>
            <c:size val="5"/>
            <c:spPr>
              <a:solidFill>
                <a:schemeClr val="accent2"/>
              </a:solidFill>
              <a:ln w="9525">
                <a:noFill/>
              </a:ln>
              <a:effectLst/>
            </c:spPr>
          </c:marker>
          <c:dPt>
            <c:idx val="2"/>
            <c:marker>
              <c:symbol val="none"/>
            </c:marker>
            <c:bubble3D val="0"/>
            <c:extLst>
              <c:ext xmlns:c16="http://schemas.microsoft.com/office/drawing/2014/chart" uri="{C3380CC4-5D6E-409C-BE32-E72D297353CC}">
                <c16:uniqueId val="{0000000D-5703-454F-A788-87143CDD1021}"/>
              </c:ext>
            </c:extLst>
          </c:dPt>
          <c:dLbls>
            <c:dLbl>
              <c:idx val="0"/>
              <c:dLblPos val="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703-454F-A788-87143CDD1021}"/>
                </c:ext>
              </c:extLst>
            </c:dLbl>
            <c:numFmt formatCode="0.000" sourceLinked="0"/>
            <c:spPr>
              <a:noFill/>
              <a:ln>
                <a:noFill/>
              </a:ln>
              <a:effectLst/>
            </c:spPr>
            <c:txPr>
              <a:bodyPr rot="0" spcFirstLastPara="1" vertOverflow="ellipsis" vert="horz" wrap="square" lIns="38100" tIns="0" rIns="38100" bIns="0" anchor="ctr" anchorCtr="1">
                <a:spAutoFit/>
              </a:bodyPr>
              <a:lstStyle/>
              <a:p>
                <a:pPr>
                  <a:defRPr sz="900" b="0" i="1"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xVal>
            <c:numRef>
              <c:f>('Graphics data'!$Z$10,'Graphics data'!$Z$12,'Graphics data'!$Z$16)</c:f>
              <c:numCache>
                <c:formatCode>General</c:formatCode>
                <c:ptCount val="3"/>
                <c:pt idx="0">
                  <c:v>0</c:v>
                </c:pt>
                <c:pt idx="1">
                  <c:v>0</c:v>
                </c:pt>
                <c:pt idx="2">
                  <c:v>0</c:v>
                </c:pt>
              </c:numCache>
            </c:numRef>
          </c:xVal>
          <c:yVal>
            <c:numRef>
              <c:f>('Graphics data'!$Z$11,'Graphics data'!$Z$13,'Graphics data'!$Z$17)</c:f>
              <c:numCache>
                <c:formatCode>0.00%</c:formatCode>
                <c:ptCount val="3"/>
                <c:pt idx="0" formatCode="General">
                  <c:v>0</c:v>
                </c:pt>
                <c:pt idx="1">
                  <c:v>0</c:v>
                </c:pt>
                <c:pt idx="2">
                  <c:v>0</c:v>
                </c:pt>
              </c:numCache>
            </c:numRef>
          </c:yVal>
          <c:smooth val="0"/>
          <c:extLst>
            <c:ext xmlns:c16="http://schemas.microsoft.com/office/drawing/2014/chart" uri="{C3380CC4-5D6E-409C-BE32-E72D297353CC}">
              <c16:uniqueId val="{0000000F-5703-454F-A788-87143CDD1021}"/>
            </c:ext>
          </c:extLst>
        </c:ser>
        <c:ser>
          <c:idx val="2"/>
          <c:order val="8"/>
          <c:tx>
            <c:v>Y_axis</c:v>
          </c:tx>
          <c:spPr>
            <a:ln w="19050" cap="rnd">
              <a:solidFill>
                <a:schemeClr val="bg1">
                  <a:lumMod val="50000"/>
                </a:schemeClr>
              </a:solidFill>
              <a:round/>
              <a:headEnd type="none"/>
              <a:tailEnd type="triangle"/>
            </a:ln>
            <a:effectLst/>
          </c:spPr>
          <c:marker>
            <c:symbol val="none"/>
          </c:marker>
          <c:dLbls>
            <c:dLbl>
              <c:idx val="1"/>
              <c:numFmt formatCode="&quot;Pivot:&quot;\ 0.000" sourceLinked="0"/>
              <c:spPr>
                <a:solidFill>
                  <a:schemeClr val="bg1">
                    <a:alpha val="75000"/>
                  </a:schemeClr>
                </a:solidFill>
                <a:ln>
                  <a:noFill/>
                </a:ln>
                <a:effectLst/>
              </c:spPr>
              <c:txPr>
                <a:bodyPr wrap="square" lIns="0" tIns="0" rIns="0" bIns="0" anchor="ctr">
                  <a:spAutoFit/>
                </a:bodyPr>
                <a:lstStyle/>
                <a:p>
                  <a:pPr>
                    <a:defRPr b="0" i="1"/>
                  </a:pPr>
                  <a:endParaRPr lang="en-US"/>
                </a:p>
              </c:txPr>
              <c:dLblPos val="b"/>
              <c:showLegendKey val="0"/>
              <c:showVal val="0"/>
              <c:showCatName val="1"/>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10-5703-454F-A788-87143CDD1021}"/>
                </c:ext>
              </c:extLst>
            </c:dLbl>
            <c:spPr>
              <a:solidFill>
                <a:schemeClr val="bg1">
                  <a:alpha val="75000"/>
                </a:schemeClr>
              </a:solid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xVal>
            <c:numRef>
              <c:f>('Graphics data'!$Z$5,'Graphics data'!$Z$5,'Graphics data'!$Z$5)</c:f>
              <c:numCache>
                <c:formatCode>General</c:formatCode>
                <c:ptCount val="3"/>
                <c:pt idx="0">
                  <c:v>0</c:v>
                </c:pt>
                <c:pt idx="1">
                  <c:v>0</c:v>
                </c:pt>
                <c:pt idx="2">
                  <c:v>0</c:v>
                </c:pt>
              </c:numCache>
            </c:numRef>
          </c:xVal>
          <c:yVal>
            <c:numRef>
              <c:f>('Graphics data'!$AC$7,'Graphics data'!$Z$7,'Graphics data'!$AD$7)</c:f>
              <c:numCache>
                <c:formatCode>General</c:formatCode>
                <c:ptCount val="3"/>
                <c:pt idx="0">
                  <c:v>-2.5000000000000001E-2</c:v>
                </c:pt>
                <c:pt idx="1">
                  <c:v>0</c:v>
                </c:pt>
                <c:pt idx="2">
                  <c:v>2.5000000000000001E-2</c:v>
                </c:pt>
              </c:numCache>
            </c:numRef>
          </c:yVal>
          <c:smooth val="0"/>
          <c:extLst>
            <c:ext xmlns:c16="http://schemas.microsoft.com/office/drawing/2014/chart" uri="{C3380CC4-5D6E-409C-BE32-E72D297353CC}">
              <c16:uniqueId val="{00000011-5703-454F-A788-87143CDD1021}"/>
            </c:ext>
          </c:extLst>
        </c:ser>
        <c:ser>
          <c:idx val="7"/>
          <c:order val="9"/>
          <c:tx>
            <c:strRef>
              <c:f>'Graphics data'!$AD$9</c:f>
              <c:strCache>
                <c:ptCount val="1"/>
                <c:pt idx="0">
                  <c:v>-</c:v>
                </c:pt>
              </c:strCache>
            </c:strRef>
          </c:tx>
          <c:marker>
            <c:symbol val="none"/>
          </c:marker>
          <c:dLbls>
            <c:spPr>
              <a:noFill/>
              <a:ln>
                <a:noFill/>
              </a:ln>
              <a:effectLst/>
            </c:spPr>
            <c:txPr>
              <a:bodyPr wrap="square" lIns="38100" tIns="19050" rIns="38100" bIns="19050" anchor="ctr">
                <a:spAutoFit/>
              </a:bodyPr>
              <a:lstStyle/>
              <a:p>
                <a:pPr>
                  <a:defRPr i="1"/>
                </a:pPr>
                <a:endParaRPr lang="en-US"/>
              </a:p>
            </c:txPr>
            <c:dLblPos val="l"/>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'Graphics data'!$AD$11</c:f>
              <c:numCache>
                <c:formatCode>General</c:formatCode>
                <c:ptCount val="1"/>
                <c:pt idx="0">
                  <c:v>0</c:v>
                </c:pt>
              </c:numCache>
            </c:numRef>
          </c:xVal>
          <c:yVal>
            <c:numRef>
              <c:f>'Graphics data'!$AD$12</c:f>
              <c:numCache>
                <c:formatCode>General</c:formatCode>
                <c:ptCount val="1"/>
                <c:pt idx="0">
                  <c:v>0</c:v>
                </c:pt>
              </c:numCache>
            </c:numRef>
          </c:yVal>
          <c:smooth val="0"/>
          <c:extLst>
            <c:ext xmlns:c16="http://schemas.microsoft.com/office/drawing/2014/chart" uri="{C3380CC4-5D6E-409C-BE32-E72D297353CC}">
              <c16:uniqueId val="{00000012-5703-454F-A788-87143CDD1021}"/>
            </c:ext>
          </c:extLst>
        </c:ser>
        <c:ser>
          <c:idx val="8"/>
          <c:order val="10"/>
          <c:tx>
            <c:strRef>
              <c:f>'Graphics data'!$AC$9</c:f>
              <c:strCache>
                <c:ptCount val="1"/>
                <c:pt idx="0">
                  <c:v>-</c:v>
                </c:pt>
              </c:strCache>
            </c:strRef>
          </c:tx>
          <c:marker>
            <c:symbol val="none"/>
          </c:marker>
          <c:dLbls>
            <c:spPr>
              <a:noFill/>
              <a:ln>
                <a:noFill/>
              </a:ln>
              <a:effectLst/>
            </c:spPr>
            <c:txPr>
              <a:bodyPr wrap="square" lIns="39600" tIns="19050" rIns="39600" bIns="18000" anchor="ctr">
                <a:spAutoFit/>
              </a:bodyPr>
              <a:lstStyle/>
              <a:p>
                <a:pPr>
                  <a:defRPr i="1"/>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ext>
            </c:extLst>
          </c:dLbls>
          <c:xVal>
            <c:numRef>
              <c:f>'Graphics data'!$AC$11</c:f>
              <c:numCache>
                <c:formatCode>General</c:formatCode>
                <c:ptCount val="1"/>
                <c:pt idx="0">
                  <c:v>0</c:v>
                </c:pt>
              </c:numCache>
            </c:numRef>
          </c:xVal>
          <c:yVal>
            <c:numRef>
              <c:f>'Graphics data'!$AC$12</c:f>
              <c:numCache>
                <c:formatCode>General</c:formatCode>
                <c:ptCount val="1"/>
                <c:pt idx="0">
                  <c:v>0</c:v>
                </c:pt>
              </c:numCache>
            </c:numRef>
          </c:yVal>
          <c:smooth val="0"/>
          <c:extLst>
            <c:ext xmlns:c16="http://schemas.microsoft.com/office/drawing/2014/chart" uri="{C3380CC4-5D6E-409C-BE32-E72D297353CC}">
              <c16:uniqueId val="{00000013-5703-454F-A788-87143CDD1021}"/>
            </c:ext>
          </c:extLst>
        </c:ser>
        <c:ser>
          <c:idx val="11"/>
          <c:order val="11"/>
          <c:tx>
            <c:strRef>
              <c:f>'Graphics data'!$AG$8</c:f>
              <c:strCache>
                <c:ptCount val="1"/>
                <c:pt idx="0">
                  <c:v>→ Dead band ←</c:v>
                </c:pt>
              </c:strCache>
            </c:strRef>
          </c:tx>
          <c:marker>
            <c:symbol val="none"/>
          </c:marker>
          <c:dLbls>
            <c:spPr>
              <a:noFill/>
              <a:ln>
                <a:noFill/>
              </a:ln>
              <a:effectLst/>
            </c:spPr>
            <c:txPr>
              <a:bodyPr wrap="square" lIns="38100" tIns="19050" rIns="38100" bIns="19050" anchor="ctr">
                <a:spAutoFit/>
              </a:bodyPr>
              <a:lstStyle/>
              <a:p>
                <a:pPr>
                  <a:defRPr b="1">
                    <a:solidFill>
                      <a:schemeClr val="tx2"/>
                    </a:solidFill>
                  </a:defRPr>
                </a:pPr>
                <a:endParaRPr lang="en-US"/>
              </a:p>
            </c:txPr>
            <c:dLblPos val="ctr"/>
            <c:showLegendKey val="0"/>
            <c:showVal val="0"/>
            <c:showCatName val="0"/>
            <c:showSerName val="1"/>
            <c:showPercent val="0"/>
            <c:showBubbleSize val="0"/>
            <c:showLeaderLines val="0"/>
            <c:extLst>
              <c:ext xmlns:c15="http://schemas.microsoft.com/office/drawing/2012/chart" uri="{CE6537A1-D6FC-4f65-9D91-7224C49458BB}">
                <c15:showLeaderLines val="1"/>
              </c:ext>
            </c:extLst>
          </c:dLbls>
          <c:xVal>
            <c:numRef>
              <c:f>'Graphics data'!$AG$9</c:f>
              <c:numCache>
                <c:formatCode>General</c:formatCode>
                <c:ptCount val="1"/>
                <c:pt idx="0">
                  <c:v>0</c:v>
                </c:pt>
              </c:numCache>
            </c:numRef>
          </c:xVal>
          <c:yVal>
            <c:numRef>
              <c:f>'Graphics data'!$AG$10</c:f>
              <c:numCache>
                <c:formatCode>General</c:formatCode>
                <c:ptCount val="1"/>
                <c:pt idx="0">
                  <c:v>5.4999999999999997E-3</c:v>
                </c:pt>
              </c:numCache>
            </c:numRef>
          </c:yVal>
          <c:smooth val="0"/>
          <c:extLst>
            <c:ext xmlns:c16="http://schemas.microsoft.com/office/drawing/2014/chart" uri="{C3380CC4-5D6E-409C-BE32-E72D297353CC}">
              <c16:uniqueId val="{00000014-5703-454F-A788-87143CDD1021}"/>
            </c:ext>
          </c:extLst>
        </c:ser>
        <c:dLbls>
          <c:showLegendKey val="0"/>
          <c:showVal val="0"/>
          <c:showCatName val="0"/>
          <c:showSerName val="0"/>
          <c:showPercent val="0"/>
          <c:showBubbleSize val="0"/>
        </c:dLbls>
        <c:axId val="163248000"/>
        <c:axId val="163249536"/>
      </c:scatterChart>
      <c:valAx>
        <c:axId val="163248000"/>
        <c:scaling>
          <c:orientation val="minMax"/>
          <c:max val="0.25724999999999998"/>
          <c:min val="4.2749999999999996E-2"/>
        </c:scaling>
        <c:delete val="0"/>
        <c:axPos val="b"/>
        <c:numFmt formatCode="General" sourceLinked="1"/>
        <c:majorTickMark val="none"/>
        <c:minorTickMark val="none"/>
        <c:tickLblPos val="none"/>
        <c:spPr>
          <a:noFill/>
          <a:ln w="12700" cap="flat" cmpd="sng" algn="ctr">
            <a:solidFill>
              <a:schemeClr val="tx1">
                <a:lumMod val="50000"/>
                <a:lumOff val="50000"/>
              </a:schemeClr>
            </a:solidFill>
            <a:round/>
            <a:tailEnd type="triangle"/>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249536"/>
        <c:crosses val="autoZero"/>
        <c:crossBetween val="midCat"/>
      </c:valAx>
      <c:valAx>
        <c:axId val="163249536"/>
        <c:scaling>
          <c:orientation val="minMax"/>
        </c:scaling>
        <c:delete val="0"/>
        <c:axPos val="l"/>
        <c:numFmt formatCode="0.0%;\-0.0%" sourceLinked="0"/>
        <c:majorTickMark val="none"/>
        <c:minorTickMark val="none"/>
        <c:tickLblPos val="none"/>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248000"/>
        <c:crosses val="autoZero"/>
        <c:crossBetween val="midCat"/>
        <c:majorUnit val="5.0000000000000114E-3"/>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000000000000167" l="0.70000000000000062" r="0.70000000000000062" t="0.75000000000000167"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42.xml.rels><?xml version="1.0" encoding="UTF-8" standalone="yes"?>
<Relationships xmlns="http://schemas.openxmlformats.org/package/2006/relationships"><Relationship Id="rId1" Type="http://schemas.openxmlformats.org/officeDocument/2006/relationships/image" Target="../media/image8.png"/></Relationships>
</file>

<file path=xl/drawings/_rels/drawing49.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266700</xdr:colOff>
      <xdr:row>34</xdr:row>
      <xdr:rowOff>114300</xdr:rowOff>
    </xdr:from>
    <xdr:to>
      <xdr:col>1</xdr:col>
      <xdr:colOff>3865880</xdr:colOff>
      <xdr:row>35</xdr:row>
      <xdr:rowOff>165100</xdr:rowOff>
    </xdr:to>
    <xdr:pic>
      <xdr:nvPicPr>
        <xdr:cNvPr id="8" name="Picture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9305925"/>
          <a:ext cx="3599180" cy="241300"/>
        </a:xfrm>
        <a:prstGeom prst="rect">
          <a:avLst/>
        </a:prstGeom>
        <a:noFill/>
        <a:ln>
          <a:noFill/>
        </a:ln>
      </xdr:spPr>
    </xdr:pic>
    <xdr:clientData/>
  </xdr:twoCellAnchor>
  <xdr:twoCellAnchor editAs="oneCell">
    <xdr:from>
      <xdr:col>1</xdr:col>
      <xdr:colOff>266700</xdr:colOff>
      <xdr:row>29</xdr:row>
      <xdr:rowOff>76200</xdr:rowOff>
    </xdr:from>
    <xdr:to>
      <xdr:col>1</xdr:col>
      <xdr:colOff>3874135</xdr:colOff>
      <xdr:row>32</xdr:row>
      <xdr:rowOff>12065</xdr:rowOff>
    </xdr:to>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6300" y="7953375"/>
          <a:ext cx="3607435" cy="507365"/>
        </a:xfrm>
        <a:prstGeom prst="rect">
          <a:avLst/>
        </a:prstGeom>
        <a:noFill/>
        <a:ln>
          <a:noFill/>
        </a:ln>
      </xdr:spPr>
    </xdr:pic>
    <xdr:clientData/>
  </xdr:twoCellAnchor>
  <xdr:twoCellAnchor editAs="oneCell">
    <xdr:from>
      <xdr:col>1</xdr:col>
      <xdr:colOff>7</xdr:colOff>
      <xdr:row>20</xdr:row>
      <xdr:rowOff>95258</xdr:rowOff>
    </xdr:from>
    <xdr:to>
      <xdr:col>1</xdr:col>
      <xdr:colOff>7692218</xdr:colOff>
      <xdr:row>21</xdr:row>
      <xdr:rowOff>133915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cstate="print"/>
        <a:srcRect l="34302" t="95047" r="15434" b="2471"/>
        <a:stretch/>
      </xdr:blipFill>
      <xdr:spPr>
        <a:xfrm>
          <a:off x="609607" y="5953133"/>
          <a:ext cx="7692211" cy="229157"/>
        </a:xfrm>
        <a:prstGeom prst="rect">
          <a:avLst/>
        </a:prstGeom>
      </xdr:spPr>
    </xdr:pic>
    <xdr:clientData/>
  </xdr:twoCellAnchor>
  <xdr:twoCellAnchor editAs="oneCell">
    <xdr:from>
      <xdr:col>1</xdr:col>
      <xdr:colOff>1085849</xdr:colOff>
      <xdr:row>9</xdr:row>
      <xdr:rowOff>104775</xdr:rowOff>
    </xdr:from>
    <xdr:to>
      <xdr:col>1</xdr:col>
      <xdr:colOff>6428498</xdr:colOff>
      <xdr:row>15</xdr:row>
      <xdr:rowOff>47625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cstate="print"/>
        <a:stretch>
          <a:fillRect/>
        </a:stretch>
      </xdr:blipFill>
      <xdr:spPr>
        <a:xfrm>
          <a:off x="1695449" y="2790825"/>
          <a:ext cx="5342649" cy="10858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0D00-000002000000}"/>
            </a:ext>
          </a:extLst>
        </xdr:cNvPr>
        <xdr:cNvSpPr/>
      </xdr:nvSpPr>
      <xdr:spPr>
        <a:xfrm>
          <a:off x="15188203" y="231775"/>
          <a:ext cx="1132416" cy="39581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0D00-000003000000}"/>
            </a:ext>
          </a:extLst>
        </xdr:cNvPr>
        <xdr:cNvSpPr/>
      </xdr:nvSpPr>
      <xdr:spPr>
        <a:xfrm>
          <a:off x="14181666" y="241300"/>
          <a:ext cx="1136898" cy="39581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5" name="Rounded Rectangle 4">
          <a:extLst>
            <a:ext uri="{FF2B5EF4-FFF2-40B4-BE49-F238E27FC236}">
              <a16:creationId xmlns:a16="http://schemas.microsoft.com/office/drawing/2014/main" id="{00000000-0008-0000-0D00-000005000000}"/>
            </a:ext>
          </a:extLst>
        </xdr:cNvPr>
        <xdr:cNvSpPr/>
      </xdr:nvSpPr>
      <xdr:spPr>
        <a:xfrm>
          <a:off x="14679082" y="1538817"/>
          <a:ext cx="1128182"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66</xdr:row>
      <xdr:rowOff>306466</xdr:rowOff>
    </xdr:to>
    <xdr:sp macro="[0]!UserForm2_x_2_select" textlink="">
      <xdr:nvSpPr>
        <xdr:cNvPr id="9" name="Rounded Rectangle 8">
          <a:extLst>
            <a:ext uri="{FF2B5EF4-FFF2-40B4-BE49-F238E27FC236}">
              <a16:creationId xmlns:a16="http://schemas.microsoft.com/office/drawing/2014/main" id="{00000000-0008-0000-0D00-000009000000}"/>
            </a:ext>
          </a:extLst>
        </xdr:cNvPr>
        <xdr:cNvSpPr/>
      </xdr:nvSpPr>
      <xdr:spPr>
        <a:xfrm>
          <a:off x="14179175" y="4189757"/>
          <a:ext cx="1125070" cy="389288"/>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7" name="Rounded Rectangle 6">
          <a:extLst>
            <a:ext uri="{FF2B5EF4-FFF2-40B4-BE49-F238E27FC236}">
              <a16:creationId xmlns:a16="http://schemas.microsoft.com/office/drawing/2014/main" id="{00000000-0008-0000-0D00-000007000000}"/>
            </a:ext>
          </a:extLst>
        </xdr:cNvPr>
        <xdr:cNvSpPr/>
      </xdr:nvSpPr>
      <xdr:spPr>
        <a:xfrm>
          <a:off x="14181666" y="719666"/>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8" name="Rounded Rectangle 7">
          <a:extLst>
            <a:ext uri="{FF2B5EF4-FFF2-40B4-BE49-F238E27FC236}">
              <a16:creationId xmlns:a16="http://schemas.microsoft.com/office/drawing/2014/main" id="{00000000-0008-0000-0D00-000008000000}"/>
            </a:ext>
          </a:extLst>
        </xdr:cNvPr>
        <xdr:cNvSpPr/>
      </xdr:nvSpPr>
      <xdr:spPr>
        <a:xfrm>
          <a:off x="14325600" y="268204950"/>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0E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0E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79375</xdr:rowOff>
    </xdr:to>
    <xdr:sp macro="[0]!UserForm2_x_1_select" textlink="">
      <xdr:nvSpPr>
        <xdr:cNvPr id="4" name="Rounded Rectangle 3">
          <a:extLst>
            <a:ext uri="{FF2B5EF4-FFF2-40B4-BE49-F238E27FC236}">
              <a16:creationId xmlns:a16="http://schemas.microsoft.com/office/drawing/2014/main" id="{00000000-0008-0000-0E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1018</xdr:row>
      <xdr:rowOff>191952</xdr:rowOff>
    </xdr:to>
    <xdr:sp macro="[0]!UserForm2_x_2_select" textlink="">
      <xdr:nvSpPr>
        <xdr:cNvPr id="5" name="Rounded Rectangle 4">
          <a:extLst>
            <a:ext uri="{FF2B5EF4-FFF2-40B4-BE49-F238E27FC236}">
              <a16:creationId xmlns:a16="http://schemas.microsoft.com/office/drawing/2014/main" id="{00000000-0008-0000-0E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0E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0E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0F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0F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0F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0F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0F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0F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0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0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0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0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0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0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1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1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1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1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1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1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2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2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2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2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2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2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3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3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3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3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3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3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4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4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4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4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4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4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5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5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88900</xdr:rowOff>
    </xdr:to>
    <xdr:sp macro="[0]!UserForm2_x_1_select" textlink="">
      <xdr:nvSpPr>
        <xdr:cNvPr id="4" name="Rounded Rectangle 3">
          <a:extLst>
            <a:ext uri="{FF2B5EF4-FFF2-40B4-BE49-F238E27FC236}">
              <a16:creationId xmlns:a16="http://schemas.microsoft.com/office/drawing/2014/main" id="{00000000-0008-0000-15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85486</xdr:rowOff>
    </xdr:to>
    <xdr:sp macro="[0]!UserForm2_x_2_select" textlink="">
      <xdr:nvSpPr>
        <xdr:cNvPr id="5" name="Rounded Rectangle 4">
          <a:extLst>
            <a:ext uri="{FF2B5EF4-FFF2-40B4-BE49-F238E27FC236}">
              <a16:creationId xmlns:a16="http://schemas.microsoft.com/office/drawing/2014/main" id="{00000000-0008-0000-15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5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5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editAs="oneCell">
    <xdr:from>
      <xdr:col>17</xdr:col>
      <xdr:colOff>572620</xdr:colOff>
      <xdr:row>1</xdr:row>
      <xdr:rowOff>41275</xdr:rowOff>
    </xdr:from>
    <xdr:to>
      <xdr:col>19</xdr:col>
      <xdr:colOff>477369</xdr:colOff>
      <xdr:row>2</xdr:row>
      <xdr:rowOff>172509</xdr:rowOff>
    </xdr:to>
    <xdr:sp macro="[0]!UserForm2_legal_select" textlink="">
      <xdr:nvSpPr>
        <xdr:cNvPr id="2" name="Rounded Rectangle 1">
          <a:extLst>
            <a:ext uri="{FF2B5EF4-FFF2-40B4-BE49-F238E27FC236}">
              <a16:creationId xmlns:a16="http://schemas.microsoft.com/office/drawing/2014/main" id="{00000000-0008-0000-1600-000002000000}"/>
            </a:ext>
          </a:extLst>
        </xdr:cNvPr>
        <xdr:cNvSpPr/>
      </xdr:nvSpPr>
      <xdr:spPr>
        <a:xfrm>
          <a:off x="15507820" y="231775"/>
          <a:ext cx="1123949"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15</xdr:col>
      <xdr:colOff>888999</xdr:colOff>
      <xdr:row>1</xdr:row>
      <xdr:rowOff>50800</xdr:rowOff>
    </xdr:from>
    <xdr:to>
      <xdr:col>17</xdr:col>
      <xdr:colOff>364314</xdr:colOff>
      <xdr:row>2</xdr:row>
      <xdr:rowOff>182034</xdr:rowOff>
    </xdr:to>
    <xdr:sp macro="[0]!UserForm2_select" textlink="">
      <xdr:nvSpPr>
        <xdr:cNvPr id="3" name="Rounded Rectangle 2">
          <a:extLst>
            <a:ext uri="{FF2B5EF4-FFF2-40B4-BE49-F238E27FC236}">
              <a16:creationId xmlns:a16="http://schemas.microsoft.com/office/drawing/2014/main" id="{00000000-0008-0000-1600-000003000000}"/>
            </a:ext>
          </a:extLst>
        </xdr:cNvPr>
        <xdr:cNvSpPr/>
      </xdr:nvSpPr>
      <xdr:spPr>
        <a:xfrm>
          <a:off x="14166849" y="241300"/>
          <a:ext cx="1132665" cy="397934"/>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7</xdr:row>
      <xdr:rowOff>88900</xdr:rowOff>
    </xdr:from>
    <xdr:to>
      <xdr:col>17</xdr:col>
      <xdr:colOff>355598</xdr:colOff>
      <xdr:row>8</xdr:row>
      <xdr:rowOff>92075</xdr:rowOff>
    </xdr:to>
    <xdr:sp macro="[0]!UserForm2_x_1_select" textlink="">
      <xdr:nvSpPr>
        <xdr:cNvPr id="4" name="Rounded Rectangle 3">
          <a:extLst>
            <a:ext uri="{FF2B5EF4-FFF2-40B4-BE49-F238E27FC236}">
              <a16:creationId xmlns:a16="http://schemas.microsoft.com/office/drawing/2014/main" id="{00000000-0008-0000-1600-000004000000}"/>
            </a:ext>
          </a:extLst>
        </xdr:cNvPr>
        <xdr:cNvSpPr/>
      </xdr:nvSpPr>
      <xdr:spPr>
        <a:xfrm>
          <a:off x="14166849" y="1536700"/>
          <a:ext cx="1123949" cy="3810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15</xdr:col>
      <xdr:colOff>888999</xdr:colOff>
      <xdr:row>65</xdr:row>
      <xdr:rowOff>211669</xdr:rowOff>
    </xdr:from>
    <xdr:to>
      <xdr:col>17</xdr:col>
      <xdr:colOff>355598</xdr:colOff>
      <xdr:row>67</xdr:row>
      <xdr:rowOff>79136</xdr:rowOff>
    </xdr:to>
    <xdr:sp macro="[0]!UserForm2_x_2_select" textlink="">
      <xdr:nvSpPr>
        <xdr:cNvPr id="5" name="Rounded Rectangle 4">
          <a:extLst>
            <a:ext uri="{FF2B5EF4-FFF2-40B4-BE49-F238E27FC236}">
              <a16:creationId xmlns:a16="http://schemas.microsoft.com/office/drawing/2014/main" id="{00000000-0008-0000-1600-000005000000}"/>
            </a:ext>
          </a:extLst>
        </xdr:cNvPr>
        <xdr:cNvSpPr/>
      </xdr:nvSpPr>
      <xdr:spPr>
        <a:xfrm>
          <a:off x="14166849" y="4202644"/>
          <a:ext cx="1123949" cy="3881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15</xdr:col>
      <xdr:colOff>888999</xdr:colOff>
      <xdr:row>3</xdr:row>
      <xdr:rowOff>74083</xdr:rowOff>
    </xdr:from>
    <xdr:to>
      <xdr:col>17</xdr:col>
      <xdr:colOff>370416</xdr:colOff>
      <xdr:row>5</xdr:row>
      <xdr:rowOff>41274</xdr:rowOff>
    </xdr:to>
    <xdr:sp macro="[0]!UserForm_Navigator_select" textlink="">
      <xdr:nvSpPr>
        <xdr:cNvPr id="6" name="Rounded Rectangle 5">
          <a:extLst>
            <a:ext uri="{FF2B5EF4-FFF2-40B4-BE49-F238E27FC236}">
              <a16:creationId xmlns:a16="http://schemas.microsoft.com/office/drawing/2014/main" id="{00000000-0008-0000-1600-000006000000}"/>
            </a:ext>
          </a:extLst>
        </xdr:cNvPr>
        <xdr:cNvSpPr/>
      </xdr:nvSpPr>
      <xdr:spPr>
        <a:xfrm>
          <a:off x="14166849" y="721783"/>
          <a:ext cx="1138767" cy="386291"/>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16</xdr:col>
      <xdr:colOff>0</xdr:colOff>
      <xdr:row>1022</xdr:row>
      <xdr:rowOff>0</xdr:rowOff>
    </xdr:from>
    <xdr:to>
      <xdr:col>17</xdr:col>
      <xdr:colOff>513228</xdr:colOff>
      <xdr:row>1022</xdr:row>
      <xdr:rowOff>387357</xdr:rowOff>
    </xdr:to>
    <xdr:sp macro="[0]!UserForm2_x_3_select" textlink="">
      <xdr:nvSpPr>
        <xdr:cNvPr id="7" name="Rounded Rectangle 6">
          <a:extLst>
            <a:ext uri="{FF2B5EF4-FFF2-40B4-BE49-F238E27FC236}">
              <a16:creationId xmlns:a16="http://schemas.microsoft.com/office/drawing/2014/main" id="{00000000-0008-0000-1600-000007000000}"/>
            </a:ext>
          </a:extLst>
        </xdr:cNvPr>
        <xdr:cNvSpPr/>
      </xdr:nvSpPr>
      <xdr:spPr>
        <a:xfrm>
          <a:off x="14325600" y="5419725"/>
          <a:ext cx="1122828" cy="38735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editAs="absolute">
    <xdr:from>
      <xdr:col>5</xdr:col>
      <xdr:colOff>495300</xdr:colOff>
      <xdr:row>1</xdr:row>
      <xdr:rowOff>0</xdr:rowOff>
    </xdr:from>
    <xdr:to>
      <xdr:col>7</xdr:col>
      <xdr:colOff>400050</xdr:colOff>
      <xdr:row>2</xdr:row>
      <xdr:rowOff>123825</xdr:rowOff>
    </xdr:to>
    <xdr:sp macro="[0]!UserForm_signoff_select" textlink="">
      <xdr:nvSpPr>
        <xdr:cNvPr id="4" name="Rounded Rectangle 3">
          <a:extLst>
            <a:ext uri="{FF2B5EF4-FFF2-40B4-BE49-F238E27FC236}">
              <a16:creationId xmlns:a16="http://schemas.microsoft.com/office/drawing/2014/main" id="{00000000-0008-0000-0300-000004000000}"/>
            </a:ext>
          </a:extLst>
        </xdr:cNvPr>
        <xdr:cNvSpPr/>
      </xdr:nvSpPr>
      <xdr:spPr>
        <a:xfrm>
          <a:off x="902970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5</xdr:col>
      <xdr:colOff>495300</xdr:colOff>
      <xdr:row>3</xdr:row>
      <xdr:rowOff>66675</xdr:rowOff>
    </xdr:from>
    <xdr:to>
      <xdr:col>7</xdr:col>
      <xdr:colOff>400050</xdr:colOff>
      <xdr:row>5</xdr:row>
      <xdr:rowOff>9525</xdr:rowOff>
    </xdr:to>
    <xdr:sp macro="[0]!RDB_Sheet_label_To_PDF" textlink="">
      <xdr:nvSpPr>
        <xdr:cNvPr id="5" name="Rounded Rectangle 4">
          <a:extLst>
            <a:ext uri="{FF2B5EF4-FFF2-40B4-BE49-F238E27FC236}">
              <a16:creationId xmlns:a16="http://schemas.microsoft.com/office/drawing/2014/main" id="{00000000-0008-0000-0300-000005000000}"/>
            </a:ext>
          </a:extLst>
        </xdr:cNvPr>
        <xdr:cNvSpPr/>
      </xdr:nvSpPr>
      <xdr:spPr>
        <a:xfrm>
          <a:off x="9029700" y="7239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Print PDF &gt;&gt;</a:t>
          </a:r>
        </a:p>
      </xdr:txBody>
    </xdr:sp>
    <xdr:clientData fPrintsWithSheet="0"/>
  </xdr:twoCellAnchor>
  <xdr:twoCellAnchor editAs="absolute">
    <xdr:from>
      <xdr:col>5</xdr:col>
      <xdr:colOff>495300</xdr:colOff>
      <xdr:row>5</xdr:row>
      <xdr:rowOff>171450</xdr:rowOff>
    </xdr:from>
    <xdr:to>
      <xdr:col>7</xdr:col>
      <xdr:colOff>419100</xdr:colOff>
      <xdr:row>6</xdr:row>
      <xdr:rowOff>173355</xdr:rowOff>
    </xdr:to>
    <xdr:sp macro="[0]!UserForm_Navigator_select" textlink="">
      <xdr:nvSpPr>
        <xdr:cNvPr id="6" name="Rounded Rectangle 5">
          <a:extLst>
            <a:ext uri="{FF2B5EF4-FFF2-40B4-BE49-F238E27FC236}">
              <a16:creationId xmlns:a16="http://schemas.microsoft.com/office/drawing/2014/main" id="{00000000-0008-0000-0300-000006000000}"/>
            </a:ext>
          </a:extLst>
        </xdr:cNvPr>
        <xdr:cNvSpPr/>
      </xdr:nvSpPr>
      <xdr:spPr>
        <a:xfrm>
          <a:off x="9029700" y="12763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oneCell">
    <xdr:from>
      <xdr:col>2</xdr:col>
      <xdr:colOff>457200</xdr:colOff>
      <xdr:row>13</xdr:row>
      <xdr:rowOff>142875</xdr:rowOff>
    </xdr:from>
    <xdr:to>
      <xdr:col>3</xdr:col>
      <xdr:colOff>1085850</xdr:colOff>
      <xdr:row>13</xdr:row>
      <xdr:rowOff>871855</xdr:rowOff>
    </xdr:to>
    <xdr:pic>
      <xdr:nvPicPr>
        <xdr:cNvPr id="11" name="Picture 1">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3114675" y="3276600"/>
          <a:ext cx="2343150" cy="728980"/>
        </a:xfrm>
        <a:prstGeom prst="rect">
          <a:avLst/>
        </a:prstGeom>
        <a:noFill/>
        <a:ln w="1">
          <a:noFill/>
          <a:miter lim="800000"/>
          <a:headEnd/>
          <a:tailEnd type="none" w="med" len="med"/>
        </a:ln>
        <a:effec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11</xdr:col>
      <xdr:colOff>610148</xdr:colOff>
      <xdr:row>1</xdr:row>
      <xdr:rowOff>38100</xdr:rowOff>
    </xdr:from>
    <xdr:to>
      <xdr:col>13</xdr:col>
      <xdr:colOff>524423</xdr:colOff>
      <xdr:row>2</xdr:row>
      <xdr:rowOff>161925</xdr:rowOff>
    </xdr:to>
    <xdr:sp macro="[0]!UserForm3_1_legal_select" textlink="">
      <xdr:nvSpPr>
        <xdr:cNvPr id="2" name="Rounded Rectangle 1">
          <a:extLst>
            <a:ext uri="{FF2B5EF4-FFF2-40B4-BE49-F238E27FC236}">
              <a16:creationId xmlns:a16="http://schemas.microsoft.com/office/drawing/2014/main" id="{00000000-0008-0000-1900-000002000000}"/>
            </a:ext>
          </a:extLst>
        </xdr:cNvPr>
        <xdr:cNvSpPr/>
      </xdr:nvSpPr>
      <xdr:spPr>
        <a:xfrm>
          <a:off x="11039475" y="2286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9</xdr:col>
      <xdr:colOff>171012</xdr:colOff>
      <xdr:row>1</xdr:row>
      <xdr:rowOff>47625</xdr:rowOff>
    </xdr:from>
    <xdr:to>
      <xdr:col>11</xdr:col>
      <xdr:colOff>378810</xdr:colOff>
      <xdr:row>2</xdr:row>
      <xdr:rowOff>171450</xdr:rowOff>
    </xdr:to>
    <xdr:sp macro="[0]!UserForm3_1_select" textlink="">
      <xdr:nvSpPr>
        <xdr:cNvPr id="3" name="Rounded Rectangle 2">
          <a:extLst>
            <a:ext uri="{FF2B5EF4-FFF2-40B4-BE49-F238E27FC236}">
              <a16:creationId xmlns:a16="http://schemas.microsoft.com/office/drawing/2014/main" id="{00000000-0008-0000-1900-000003000000}"/>
            </a:ext>
          </a:extLst>
        </xdr:cNvPr>
        <xdr:cNvSpPr/>
      </xdr:nvSpPr>
      <xdr:spPr>
        <a:xfrm>
          <a:off x="9686925" y="238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9</xdr:col>
      <xdr:colOff>171012</xdr:colOff>
      <xdr:row>3</xdr:row>
      <xdr:rowOff>85725</xdr:rowOff>
    </xdr:from>
    <xdr:to>
      <xdr:col>11</xdr:col>
      <xdr:colOff>397860</xdr:colOff>
      <xdr:row>5</xdr:row>
      <xdr:rowOff>47625</xdr:rowOff>
    </xdr:to>
    <xdr:sp macro="[0]!UserForm_Navigator_select" textlink="">
      <xdr:nvSpPr>
        <xdr:cNvPr id="4" name="Rounded Rectangle 3">
          <a:extLst>
            <a:ext uri="{FF2B5EF4-FFF2-40B4-BE49-F238E27FC236}">
              <a16:creationId xmlns:a16="http://schemas.microsoft.com/office/drawing/2014/main" id="{00000000-0008-0000-1900-000004000000}"/>
            </a:ext>
          </a:extLst>
        </xdr:cNvPr>
        <xdr:cNvSpPr/>
      </xdr:nvSpPr>
      <xdr:spPr>
        <a:xfrm>
          <a:off x="9686925" y="7334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11</xdr:col>
      <xdr:colOff>361950</xdr:colOff>
      <xdr:row>1</xdr:row>
      <xdr:rowOff>47625</xdr:rowOff>
    </xdr:from>
    <xdr:to>
      <xdr:col>13</xdr:col>
      <xdr:colOff>266700</xdr:colOff>
      <xdr:row>3</xdr:row>
      <xdr:rowOff>9525</xdr:rowOff>
    </xdr:to>
    <xdr:sp macro="[0]!UserForm3_2_select" textlink="">
      <xdr:nvSpPr>
        <xdr:cNvPr id="4" name="Rounded Rectangle 3">
          <a:extLst>
            <a:ext uri="{FF2B5EF4-FFF2-40B4-BE49-F238E27FC236}">
              <a16:creationId xmlns:a16="http://schemas.microsoft.com/office/drawing/2014/main" id="{00000000-0008-0000-1B00-000004000000}"/>
            </a:ext>
          </a:extLst>
        </xdr:cNvPr>
        <xdr:cNvSpPr/>
      </xdr:nvSpPr>
      <xdr:spPr>
        <a:xfrm>
          <a:off x="9734550" y="238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13</xdr:col>
      <xdr:colOff>438150</xdr:colOff>
      <xdr:row>1</xdr:row>
      <xdr:rowOff>47625</xdr:rowOff>
    </xdr:from>
    <xdr:to>
      <xdr:col>15</xdr:col>
      <xdr:colOff>342900</xdr:colOff>
      <xdr:row>3</xdr:row>
      <xdr:rowOff>9525</xdr:rowOff>
    </xdr:to>
    <xdr:sp macro="[0]!UserForm3_2_legal_select" textlink="">
      <xdr:nvSpPr>
        <xdr:cNvPr id="5" name="Rounded Rectangle 4">
          <a:extLst>
            <a:ext uri="{FF2B5EF4-FFF2-40B4-BE49-F238E27FC236}">
              <a16:creationId xmlns:a16="http://schemas.microsoft.com/office/drawing/2014/main" id="{00000000-0008-0000-1B00-000005000000}"/>
            </a:ext>
          </a:extLst>
        </xdr:cNvPr>
        <xdr:cNvSpPr/>
      </xdr:nvSpPr>
      <xdr:spPr>
        <a:xfrm>
          <a:off x="11029950" y="238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11</xdr:col>
      <xdr:colOff>190500</xdr:colOff>
      <xdr:row>3</xdr:row>
      <xdr:rowOff>85725</xdr:rowOff>
    </xdr:from>
    <xdr:to>
      <xdr:col>13</xdr:col>
      <xdr:colOff>114300</xdr:colOff>
      <xdr:row>5</xdr:row>
      <xdr:rowOff>85725</xdr:rowOff>
    </xdr:to>
    <xdr:sp macro="[0]!UserForm_Navigator_select" textlink="">
      <xdr:nvSpPr>
        <xdr:cNvPr id="6" name="Rounded Rectangle 5">
          <a:extLst>
            <a:ext uri="{FF2B5EF4-FFF2-40B4-BE49-F238E27FC236}">
              <a16:creationId xmlns:a16="http://schemas.microsoft.com/office/drawing/2014/main" id="{00000000-0008-0000-1B00-000006000000}"/>
            </a:ext>
          </a:extLst>
        </xdr:cNvPr>
        <xdr:cNvSpPr/>
      </xdr:nvSpPr>
      <xdr:spPr>
        <a:xfrm>
          <a:off x="9744075" y="7048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editAs="absolute">
    <xdr:from>
      <xdr:col>12</xdr:col>
      <xdr:colOff>552450</xdr:colOff>
      <xdr:row>1</xdr:row>
      <xdr:rowOff>0</xdr:rowOff>
    </xdr:from>
    <xdr:to>
      <xdr:col>14</xdr:col>
      <xdr:colOff>457200</xdr:colOff>
      <xdr:row>2</xdr:row>
      <xdr:rowOff>152400</xdr:rowOff>
    </xdr:to>
    <xdr:sp macro="[0]!UserForm3_3_1_legal_select" textlink="">
      <xdr:nvSpPr>
        <xdr:cNvPr id="2" name="Rounded Rectangle 1">
          <a:extLst>
            <a:ext uri="{FF2B5EF4-FFF2-40B4-BE49-F238E27FC236}">
              <a16:creationId xmlns:a16="http://schemas.microsoft.com/office/drawing/2014/main" id="{00000000-0008-0000-1D00-000002000000}"/>
            </a:ext>
          </a:extLst>
        </xdr:cNvPr>
        <xdr:cNvSpPr/>
      </xdr:nvSpPr>
      <xdr:spPr>
        <a:xfrm>
          <a:off x="108204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419100</xdr:colOff>
      <xdr:row>1</xdr:row>
      <xdr:rowOff>9525</xdr:rowOff>
    </xdr:from>
    <xdr:to>
      <xdr:col>12</xdr:col>
      <xdr:colOff>323850</xdr:colOff>
      <xdr:row>2</xdr:row>
      <xdr:rowOff>161925</xdr:rowOff>
    </xdr:to>
    <xdr:sp macro="[0]!UserForm3_3_1_select" textlink="">
      <xdr:nvSpPr>
        <xdr:cNvPr id="3" name="Rounded Rectangle 2">
          <a:extLst>
            <a:ext uri="{FF2B5EF4-FFF2-40B4-BE49-F238E27FC236}">
              <a16:creationId xmlns:a16="http://schemas.microsoft.com/office/drawing/2014/main" id="{00000000-0008-0000-1D00-000003000000}"/>
            </a:ext>
          </a:extLst>
        </xdr:cNvPr>
        <xdr:cNvSpPr/>
      </xdr:nvSpPr>
      <xdr:spPr>
        <a:xfrm>
          <a:off x="94678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419100</xdr:colOff>
      <xdr:row>3</xdr:row>
      <xdr:rowOff>57150</xdr:rowOff>
    </xdr:from>
    <xdr:to>
      <xdr:col>12</xdr:col>
      <xdr:colOff>342900</xdr:colOff>
      <xdr:row>5</xdr:row>
      <xdr:rowOff>47625</xdr:rowOff>
    </xdr:to>
    <xdr:sp macro="[0]!UserForm_Navigator_select" textlink="">
      <xdr:nvSpPr>
        <xdr:cNvPr id="4" name="Rounded Rectangle 3">
          <a:extLst>
            <a:ext uri="{FF2B5EF4-FFF2-40B4-BE49-F238E27FC236}">
              <a16:creationId xmlns:a16="http://schemas.microsoft.com/office/drawing/2014/main" id="{00000000-0008-0000-1D00-000004000000}"/>
            </a:ext>
          </a:extLst>
        </xdr:cNvPr>
        <xdr:cNvSpPr/>
      </xdr:nvSpPr>
      <xdr:spPr>
        <a:xfrm>
          <a:off x="9467850" y="6762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3.xml><?xml version="1.0" encoding="utf-8"?>
<xdr:wsDr xmlns:xdr="http://schemas.openxmlformats.org/drawingml/2006/spreadsheetDrawing" xmlns:a="http://schemas.openxmlformats.org/drawingml/2006/main">
  <xdr:twoCellAnchor editAs="absolute">
    <xdr:from>
      <xdr:col>14</xdr:col>
      <xdr:colOff>104775</xdr:colOff>
      <xdr:row>0</xdr:row>
      <xdr:rowOff>161925</xdr:rowOff>
    </xdr:from>
    <xdr:to>
      <xdr:col>16</xdr:col>
      <xdr:colOff>0</xdr:colOff>
      <xdr:row>2</xdr:row>
      <xdr:rowOff>123825</xdr:rowOff>
    </xdr:to>
    <xdr:sp macro="[0]!UserForm3_3_2_legal_select" textlink="">
      <xdr:nvSpPr>
        <xdr:cNvPr id="2" name="Rounded Rectangle 1">
          <a:extLst>
            <a:ext uri="{FF2B5EF4-FFF2-40B4-BE49-F238E27FC236}">
              <a16:creationId xmlns:a16="http://schemas.microsoft.com/office/drawing/2014/main" id="{00000000-0008-0000-1E00-000002000000}"/>
            </a:ext>
          </a:extLst>
        </xdr:cNvPr>
        <xdr:cNvSpPr/>
      </xdr:nvSpPr>
      <xdr:spPr>
        <a:xfrm>
          <a:off x="11658600" y="1619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11</xdr:col>
      <xdr:colOff>581025</xdr:colOff>
      <xdr:row>0</xdr:row>
      <xdr:rowOff>171450</xdr:rowOff>
    </xdr:from>
    <xdr:to>
      <xdr:col>13</xdr:col>
      <xdr:colOff>485775</xdr:colOff>
      <xdr:row>2</xdr:row>
      <xdr:rowOff>133350</xdr:rowOff>
    </xdr:to>
    <xdr:sp macro="[0]!UserForm3_3_2_select" textlink="">
      <xdr:nvSpPr>
        <xdr:cNvPr id="3" name="Rounded Rectangle 2">
          <a:extLst>
            <a:ext uri="{FF2B5EF4-FFF2-40B4-BE49-F238E27FC236}">
              <a16:creationId xmlns:a16="http://schemas.microsoft.com/office/drawing/2014/main" id="{00000000-0008-0000-1E00-000003000000}"/>
            </a:ext>
          </a:extLst>
        </xdr:cNvPr>
        <xdr:cNvSpPr/>
      </xdr:nvSpPr>
      <xdr:spPr>
        <a:xfrm>
          <a:off x="10306050" y="17145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11</xdr:col>
      <xdr:colOff>581025</xdr:colOff>
      <xdr:row>3</xdr:row>
      <xdr:rowOff>19050</xdr:rowOff>
    </xdr:from>
    <xdr:to>
      <xdr:col>13</xdr:col>
      <xdr:colOff>504825</xdr:colOff>
      <xdr:row>5</xdr:row>
      <xdr:rowOff>9525</xdr:rowOff>
    </xdr:to>
    <xdr:sp macro="[0]!UserForm_Navigator_select" textlink="">
      <xdr:nvSpPr>
        <xdr:cNvPr id="4" name="Rounded Rectangle 3">
          <a:extLst>
            <a:ext uri="{FF2B5EF4-FFF2-40B4-BE49-F238E27FC236}">
              <a16:creationId xmlns:a16="http://schemas.microsoft.com/office/drawing/2014/main" id="{00000000-0008-0000-1E00-000004000000}"/>
            </a:ext>
          </a:extLst>
        </xdr:cNvPr>
        <xdr:cNvSpPr/>
      </xdr:nvSpPr>
      <xdr:spPr>
        <a:xfrm>
          <a:off x="10306050" y="6381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24.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000-000002000000}"/>
            </a:ext>
          </a:extLst>
        </xdr:cNvPr>
        <xdr:cNvSpPr/>
      </xdr:nvSpPr>
      <xdr:spPr>
        <a:xfrm>
          <a:off x="13301134" y="3810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529167</xdr:colOff>
      <xdr:row>7</xdr:row>
      <xdr:rowOff>115359</xdr:rowOff>
    </xdr:to>
    <xdr:sp macro="[0]!UserForm_Navigator_select" textlink="">
      <xdr:nvSpPr>
        <xdr:cNvPr id="4" name="Rounded Rectangle 3">
          <a:extLst>
            <a:ext uri="{FF2B5EF4-FFF2-40B4-BE49-F238E27FC236}">
              <a16:creationId xmlns:a16="http://schemas.microsoft.com/office/drawing/2014/main" id="{00000000-0008-0000-2000-000004000000}"/>
            </a:ext>
          </a:extLst>
        </xdr:cNvPr>
        <xdr:cNvSpPr/>
      </xdr:nvSpPr>
      <xdr:spPr>
        <a:xfrm>
          <a:off x="13832417" y="1164167"/>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6" name="Rounded Rectangle 5">
          <a:extLst>
            <a:ext uri="{FF2B5EF4-FFF2-40B4-BE49-F238E27FC236}">
              <a16:creationId xmlns:a16="http://schemas.microsoft.com/office/drawing/2014/main" id="{00000000-0008-0000-2000-000006000000}"/>
            </a:ext>
          </a:extLst>
        </xdr:cNvPr>
        <xdr:cNvSpPr/>
      </xdr:nvSpPr>
      <xdr:spPr>
        <a:xfrm>
          <a:off x="13935075" y="619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100-000002000000}"/>
            </a:ext>
          </a:extLst>
        </xdr:cNvPr>
        <xdr:cNvSpPr/>
      </xdr:nvSpPr>
      <xdr:spPr>
        <a:xfrm>
          <a:off x="15279159" y="619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100-000003000000}"/>
            </a:ext>
          </a:extLst>
        </xdr:cNvPr>
        <xdr:cNvSpPr/>
      </xdr:nvSpPr>
      <xdr:spPr>
        <a:xfrm>
          <a:off x="13935075" y="1154642"/>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100-000004000000}"/>
            </a:ext>
          </a:extLst>
        </xdr:cNvPr>
        <xdr:cNvSpPr/>
      </xdr:nvSpPr>
      <xdr:spPr>
        <a:xfrm>
          <a:off x="13935075" y="6191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6.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200-000002000000}"/>
            </a:ext>
          </a:extLst>
        </xdr:cNvPr>
        <xdr:cNvSpPr/>
      </xdr:nvSpPr>
      <xdr:spPr>
        <a:xfrm>
          <a:off x="15279159"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200-000003000000}"/>
            </a:ext>
          </a:extLst>
        </xdr:cNvPr>
        <xdr:cNvSpPr/>
      </xdr:nvSpPr>
      <xdr:spPr>
        <a:xfrm>
          <a:off x="13935075" y="726017"/>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200-000004000000}"/>
            </a:ext>
          </a:extLst>
        </xdr:cNvPr>
        <xdr:cNvSpPr/>
      </xdr:nvSpPr>
      <xdr:spPr>
        <a:xfrm>
          <a:off x="13935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7.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300-000002000000}"/>
            </a:ext>
          </a:extLst>
        </xdr:cNvPr>
        <xdr:cNvSpPr/>
      </xdr:nvSpPr>
      <xdr:spPr>
        <a:xfrm>
          <a:off x="15279159"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300-000003000000}"/>
            </a:ext>
          </a:extLst>
        </xdr:cNvPr>
        <xdr:cNvSpPr/>
      </xdr:nvSpPr>
      <xdr:spPr>
        <a:xfrm>
          <a:off x="13935075" y="726017"/>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300-000004000000}"/>
            </a:ext>
          </a:extLst>
        </xdr:cNvPr>
        <xdr:cNvSpPr/>
      </xdr:nvSpPr>
      <xdr:spPr>
        <a:xfrm>
          <a:off x="13935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8.xml><?xml version="1.0" encoding="utf-8"?>
<xdr:wsDr xmlns:xdr="http://schemas.openxmlformats.org/drawingml/2006/spreadsheetDrawing" xmlns:a="http://schemas.openxmlformats.org/drawingml/2006/main">
  <xdr:oneCellAnchor>
    <xdr:from>
      <xdr:col>16</xdr:col>
      <xdr:colOff>124884</xdr:colOff>
      <xdr:row>3</xdr:row>
      <xdr:rowOff>0</xdr:rowOff>
    </xdr:from>
    <xdr:ext cx="1123950" cy="390525"/>
    <xdr:sp macro="[0]!UserForm3_4_1_legal_select" textlink="">
      <xdr:nvSpPr>
        <xdr:cNvPr id="2" name="Rounded Rectangle 1">
          <a:extLst>
            <a:ext uri="{FF2B5EF4-FFF2-40B4-BE49-F238E27FC236}">
              <a16:creationId xmlns:a16="http://schemas.microsoft.com/office/drawing/2014/main" id="{00000000-0008-0000-2400-000002000000}"/>
            </a:ext>
          </a:extLst>
        </xdr:cNvPr>
        <xdr:cNvSpPr/>
      </xdr:nvSpPr>
      <xdr:spPr>
        <a:xfrm>
          <a:off x="15279159"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twoCellAnchor editAs="oneCell">
    <xdr:from>
      <xdr:col>14</xdr:col>
      <xdr:colOff>0</xdr:colOff>
      <xdr:row>5</xdr:row>
      <xdr:rowOff>116417</xdr:rowOff>
    </xdr:from>
    <xdr:to>
      <xdr:col>15</xdr:col>
      <xdr:colOff>529166</xdr:colOff>
      <xdr:row>7</xdr:row>
      <xdr:rowOff>115359</xdr:rowOff>
    </xdr:to>
    <xdr:sp macro="[0]!UserForm_Navigator_select" textlink="">
      <xdr:nvSpPr>
        <xdr:cNvPr id="3" name="Rounded Rectangle 2">
          <a:extLst>
            <a:ext uri="{FF2B5EF4-FFF2-40B4-BE49-F238E27FC236}">
              <a16:creationId xmlns:a16="http://schemas.microsoft.com/office/drawing/2014/main" id="{00000000-0008-0000-2400-000003000000}"/>
            </a:ext>
          </a:extLst>
        </xdr:cNvPr>
        <xdr:cNvSpPr/>
      </xdr:nvSpPr>
      <xdr:spPr>
        <a:xfrm>
          <a:off x="13935075" y="726017"/>
          <a:ext cx="1138766" cy="389467"/>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14</xdr:col>
      <xdr:colOff>0</xdr:colOff>
      <xdr:row>3</xdr:row>
      <xdr:rowOff>0</xdr:rowOff>
    </xdr:from>
    <xdr:ext cx="1123950" cy="390525"/>
    <xdr:sp macro="[0]!UserForm3_4_1_select" textlink="">
      <xdr:nvSpPr>
        <xdr:cNvPr id="4" name="Rounded Rectangle 3">
          <a:extLst>
            <a:ext uri="{FF2B5EF4-FFF2-40B4-BE49-F238E27FC236}">
              <a16:creationId xmlns:a16="http://schemas.microsoft.com/office/drawing/2014/main" id="{00000000-0008-0000-2400-000004000000}"/>
            </a:ext>
          </a:extLst>
        </xdr:cNvPr>
        <xdr:cNvSpPr/>
      </xdr:nvSpPr>
      <xdr:spPr>
        <a:xfrm>
          <a:off x="13935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wsDr>
</file>

<file path=xl/drawings/drawing29.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7" name="Rounded Rectangle 6">
          <a:extLst>
            <a:ext uri="{FF2B5EF4-FFF2-40B4-BE49-F238E27FC236}">
              <a16:creationId xmlns:a16="http://schemas.microsoft.com/office/drawing/2014/main" id="{00000000-0008-0000-2500-000007000000}"/>
            </a:ext>
          </a:extLst>
        </xdr:cNvPr>
        <xdr:cNvSpPr/>
      </xdr:nvSpPr>
      <xdr:spPr>
        <a:xfrm>
          <a:off x="13832417" y="814917"/>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5" name="Rounded Rectangle 4">
          <a:extLst>
            <a:ext uri="{FF2B5EF4-FFF2-40B4-BE49-F238E27FC236}">
              <a16:creationId xmlns:a16="http://schemas.microsoft.com/office/drawing/2014/main" id="{00000000-0008-0000-2500-000005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6" name="Rounded Rectangle 5">
          <a:extLst>
            <a:ext uri="{FF2B5EF4-FFF2-40B4-BE49-F238E27FC236}">
              <a16:creationId xmlns:a16="http://schemas.microsoft.com/office/drawing/2014/main" id="{00000000-0008-0000-2500-000006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xml><?xml version="1.0" encoding="utf-8"?>
<xdr:wsDr xmlns:xdr="http://schemas.openxmlformats.org/drawingml/2006/spreadsheetDrawing" xmlns:a="http://schemas.openxmlformats.org/drawingml/2006/main">
  <xdr:twoCellAnchor editAs="oneCell">
    <xdr:from>
      <xdr:col>9</xdr:col>
      <xdr:colOff>66675</xdr:colOff>
      <xdr:row>2</xdr:row>
      <xdr:rowOff>0</xdr:rowOff>
    </xdr:from>
    <xdr:to>
      <xdr:col>10</xdr:col>
      <xdr:colOff>581026</xdr:colOff>
      <xdr:row>3</xdr:row>
      <xdr:rowOff>200025</xdr:rowOff>
    </xdr:to>
    <xdr:sp macro="[0]!UserForm1_1_legal_select" textlink="">
      <xdr:nvSpPr>
        <xdr:cNvPr id="4" name="Rounded Rectangle 3">
          <a:extLst>
            <a:ext uri="{FF2B5EF4-FFF2-40B4-BE49-F238E27FC236}">
              <a16:creationId xmlns:a16="http://schemas.microsoft.com/office/drawing/2014/main" id="{00000000-0008-0000-0500-000004000000}"/>
            </a:ext>
          </a:extLst>
        </xdr:cNvPr>
        <xdr:cNvSpPr/>
      </xdr:nvSpPr>
      <xdr:spPr>
        <a:xfrm>
          <a:off x="10458450" y="457200"/>
          <a:ext cx="1123951"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7</xdr:col>
      <xdr:colOff>0</xdr:colOff>
      <xdr:row>2</xdr:row>
      <xdr:rowOff>0</xdr:rowOff>
    </xdr:from>
    <xdr:to>
      <xdr:col>8</xdr:col>
      <xdr:colOff>514349</xdr:colOff>
      <xdr:row>3</xdr:row>
      <xdr:rowOff>200025</xdr:rowOff>
    </xdr:to>
    <xdr:sp macro="[0]!UserForm1_1_select" textlink="">
      <xdr:nvSpPr>
        <xdr:cNvPr id="5" name="Rounded Rectangle 4">
          <a:extLst>
            <a:ext uri="{FF2B5EF4-FFF2-40B4-BE49-F238E27FC236}">
              <a16:creationId xmlns:a16="http://schemas.microsoft.com/office/drawing/2014/main" id="{00000000-0008-0000-0500-000005000000}"/>
            </a:ext>
          </a:extLst>
        </xdr:cNvPr>
        <xdr:cNvSpPr/>
      </xdr:nvSpPr>
      <xdr:spPr>
        <a:xfrm>
          <a:off x="9172575" y="457200"/>
          <a:ext cx="1123949"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7</xdr:col>
      <xdr:colOff>0</xdr:colOff>
      <xdr:row>5</xdr:row>
      <xdr:rowOff>0</xdr:rowOff>
    </xdr:from>
    <xdr:to>
      <xdr:col>8</xdr:col>
      <xdr:colOff>533400</xdr:colOff>
      <xdr:row>6</xdr:row>
      <xdr:rowOff>9525</xdr:rowOff>
    </xdr:to>
    <xdr:sp macro="[0]!UserForm_Navigator_select" textlink="">
      <xdr:nvSpPr>
        <xdr:cNvPr id="6" name="Rounded Rectangle 5">
          <a:extLst>
            <a:ext uri="{FF2B5EF4-FFF2-40B4-BE49-F238E27FC236}">
              <a16:creationId xmlns:a16="http://schemas.microsoft.com/office/drawing/2014/main" id="{00000000-0008-0000-0500-000006000000}"/>
            </a:ext>
          </a:extLst>
        </xdr:cNvPr>
        <xdr:cNvSpPr/>
      </xdr:nvSpPr>
      <xdr:spPr>
        <a:xfrm>
          <a:off x="9172575" y="10763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6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6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6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1.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7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7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7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2.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8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8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8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3.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9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9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9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A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A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A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5.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B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B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B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6.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C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C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C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7.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D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D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D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8.xml><?xml version="1.0" encoding="utf-8"?>
<xdr:wsDr xmlns:xdr="http://schemas.openxmlformats.org/drawingml/2006/spreadsheetDrawing" xmlns:a="http://schemas.openxmlformats.org/drawingml/2006/main">
  <xdr:twoCellAnchor editAs="oneCell">
    <xdr:from>
      <xdr:col>12</xdr:col>
      <xdr:colOff>0</xdr:colOff>
      <xdr:row>6</xdr:row>
      <xdr:rowOff>0</xdr:rowOff>
    </xdr:from>
    <xdr:to>
      <xdr:col>13</xdr:col>
      <xdr:colOff>529167</xdr:colOff>
      <xdr:row>8</xdr:row>
      <xdr:rowOff>9525</xdr:rowOff>
    </xdr:to>
    <xdr:sp macro="[0]!UserForm_Navigator_select" textlink="">
      <xdr:nvSpPr>
        <xdr:cNvPr id="2" name="Rounded Rectangle 1">
          <a:extLst>
            <a:ext uri="{FF2B5EF4-FFF2-40B4-BE49-F238E27FC236}">
              <a16:creationId xmlns:a16="http://schemas.microsoft.com/office/drawing/2014/main" id="{00000000-0008-0000-2E00-000002000000}"/>
            </a:ext>
          </a:extLst>
        </xdr:cNvPr>
        <xdr:cNvSpPr/>
      </xdr:nvSpPr>
      <xdr:spPr>
        <a:xfrm>
          <a:off x="11811000" y="809625"/>
          <a:ext cx="1138767"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oneCellAnchor>
    <xdr:from>
      <xdr:col>12</xdr:col>
      <xdr:colOff>0</xdr:colOff>
      <xdr:row>1</xdr:row>
      <xdr:rowOff>0</xdr:rowOff>
    </xdr:from>
    <xdr:ext cx="1123950" cy="390525"/>
    <xdr:sp macro="[0]!UserForm3_4_2_select" textlink="">
      <xdr:nvSpPr>
        <xdr:cNvPr id="3" name="Rounded Rectangle 2">
          <a:extLst>
            <a:ext uri="{FF2B5EF4-FFF2-40B4-BE49-F238E27FC236}">
              <a16:creationId xmlns:a16="http://schemas.microsoft.com/office/drawing/2014/main" id="{00000000-0008-0000-2E00-000003000000}"/>
            </a:ext>
          </a:extLst>
        </xdr:cNvPr>
        <xdr:cNvSpPr/>
      </xdr:nvSpPr>
      <xdr:spPr>
        <a:xfrm>
          <a:off x="118110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oneCellAnchor>
  <xdr:oneCellAnchor>
    <xdr:from>
      <xdr:col>14</xdr:col>
      <xdr:colOff>0</xdr:colOff>
      <xdr:row>1</xdr:row>
      <xdr:rowOff>0</xdr:rowOff>
    </xdr:from>
    <xdr:ext cx="1123950" cy="390525"/>
    <xdr:sp macro="[0]!UserForm3_4_2_legal_select" textlink="">
      <xdr:nvSpPr>
        <xdr:cNvPr id="4" name="Rounded Rectangle 3">
          <a:extLst>
            <a:ext uri="{FF2B5EF4-FFF2-40B4-BE49-F238E27FC236}">
              <a16:creationId xmlns:a16="http://schemas.microsoft.com/office/drawing/2014/main" id="{00000000-0008-0000-2E00-000004000000}"/>
            </a:ext>
          </a:extLst>
        </xdr:cNvPr>
        <xdr:cNvSpPr/>
      </xdr:nvSpPr>
      <xdr:spPr>
        <a:xfrm>
          <a:off x="130302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oneCellAnchor>
</xdr:wsDr>
</file>

<file path=xl/drawings/drawing39.xml><?xml version="1.0" encoding="utf-8"?>
<xdr:wsDr xmlns:xdr="http://schemas.openxmlformats.org/drawingml/2006/spreadsheetDrawing" xmlns:a="http://schemas.openxmlformats.org/drawingml/2006/main">
  <xdr:twoCellAnchor editAs="absolute">
    <xdr:from>
      <xdr:col>10</xdr:col>
      <xdr:colOff>495300</xdr:colOff>
      <xdr:row>4</xdr:row>
      <xdr:rowOff>0</xdr:rowOff>
    </xdr:from>
    <xdr:to>
      <xdr:col>11</xdr:col>
      <xdr:colOff>828675</xdr:colOff>
      <xdr:row>5</xdr:row>
      <xdr:rowOff>190500</xdr:rowOff>
    </xdr:to>
    <xdr:sp macro="[0]!UserForm_Navigator_select" textlink="">
      <xdr:nvSpPr>
        <xdr:cNvPr id="7" name="Rounded Rectangle 6">
          <a:extLst>
            <a:ext uri="{FF2B5EF4-FFF2-40B4-BE49-F238E27FC236}">
              <a16:creationId xmlns:a16="http://schemas.microsoft.com/office/drawing/2014/main" id="{00000000-0008-0000-2F00-000007000000}"/>
            </a:ext>
          </a:extLst>
        </xdr:cNvPr>
        <xdr:cNvSpPr/>
      </xdr:nvSpPr>
      <xdr:spPr>
        <a:xfrm>
          <a:off x="98869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12</xdr:col>
      <xdr:colOff>123825</xdr:colOff>
      <xdr:row>1</xdr:row>
      <xdr:rowOff>0</xdr:rowOff>
    </xdr:from>
    <xdr:to>
      <xdr:col>14</xdr:col>
      <xdr:colOff>28575</xdr:colOff>
      <xdr:row>2</xdr:row>
      <xdr:rowOff>190500</xdr:rowOff>
    </xdr:to>
    <xdr:sp macro="[0]!UserForm3_4_3_legal_select" textlink="">
      <xdr:nvSpPr>
        <xdr:cNvPr id="8" name="Rounded Rectangle 7">
          <a:extLst>
            <a:ext uri="{FF2B5EF4-FFF2-40B4-BE49-F238E27FC236}">
              <a16:creationId xmlns:a16="http://schemas.microsoft.com/office/drawing/2014/main" id="{00000000-0008-0000-2F00-000008000000}"/>
            </a:ext>
          </a:extLst>
        </xdr:cNvPr>
        <xdr:cNvSpPr/>
      </xdr:nvSpPr>
      <xdr:spPr>
        <a:xfrm>
          <a:off x="112395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495300</xdr:colOff>
      <xdr:row>1</xdr:row>
      <xdr:rowOff>9525</xdr:rowOff>
    </xdr:from>
    <xdr:to>
      <xdr:col>11</xdr:col>
      <xdr:colOff>809625</xdr:colOff>
      <xdr:row>3</xdr:row>
      <xdr:rowOff>0</xdr:rowOff>
    </xdr:to>
    <xdr:sp macro="[0]!UserForm3_4_3_select" textlink="">
      <xdr:nvSpPr>
        <xdr:cNvPr id="9" name="Rounded Rectangle 8">
          <a:extLst>
            <a:ext uri="{FF2B5EF4-FFF2-40B4-BE49-F238E27FC236}">
              <a16:creationId xmlns:a16="http://schemas.microsoft.com/office/drawing/2014/main" id="{00000000-0008-0000-2F00-000009000000}"/>
            </a:ext>
          </a:extLst>
        </xdr:cNvPr>
        <xdr:cNvSpPr/>
      </xdr:nvSpPr>
      <xdr:spPr>
        <a:xfrm>
          <a:off x="98869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editAs="absolute">
    <xdr:from>
      <xdr:col>13</xdr:col>
      <xdr:colOff>0</xdr:colOff>
      <xdr:row>3</xdr:row>
      <xdr:rowOff>85725</xdr:rowOff>
    </xdr:from>
    <xdr:to>
      <xdr:col>14</xdr:col>
      <xdr:colOff>533400</xdr:colOff>
      <xdr:row>5</xdr:row>
      <xdr:rowOff>57150</xdr:rowOff>
    </xdr:to>
    <xdr:sp macro="[0]!UserForm_Navigator_select" textlink="">
      <xdr:nvSpPr>
        <xdr:cNvPr id="4" name="Rounded Rectangle 3">
          <a:extLst>
            <a:ext uri="{FF2B5EF4-FFF2-40B4-BE49-F238E27FC236}">
              <a16:creationId xmlns:a16="http://schemas.microsoft.com/office/drawing/2014/main" id="{00000000-0008-0000-0600-000004000000}"/>
            </a:ext>
          </a:extLst>
        </xdr:cNvPr>
        <xdr:cNvSpPr/>
      </xdr:nvSpPr>
      <xdr:spPr>
        <a:xfrm>
          <a:off x="9477375" y="7143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15</xdr:col>
      <xdr:colOff>38100</xdr:colOff>
      <xdr:row>1</xdr:row>
      <xdr:rowOff>0</xdr:rowOff>
    </xdr:from>
    <xdr:to>
      <xdr:col>16</xdr:col>
      <xdr:colOff>552450</xdr:colOff>
      <xdr:row>2</xdr:row>
      <xdr:rowOff>152400</xdr:rowOff>
    </xdr:to>
    <xdr:sp macro="[0]!UserForm1_2_legal_select" textlink="">
      <xdr:nvSpPr>
        <xdr:cNvPr id="7" name="Rounded Rectangle 6">
          <a:extLst>
            <a:ext uri="{FF2B5EF4-FFF2-40B4-BE49-F238E27FC236}">
              <a16:creationId xmlns:a16="http://schemas.microsoft.com/office/drawing/2014/main" id="{00000000-0008-0000-0600-000007000000}"/>
            </a:ext>
          </a:extLst>
        </xdr:cNvPr>
        <xdr:cNvSpPr/>
      </xdr:nvSpPr>
      <xdr:spPr>
        <a:xfrm>
          <a:off x="107346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13</xdr:col>
      <xdr:colOff>0</xdr:colOff>
      <xdr:row>1</xdr:row>
      <xdr:rowOff>0</xdr:rowOff>
    </xdr:from>
    <xdr:to>
      <xdr:col>14</xdr:col>
      <xdr:colOff>514350</xdr:colOff>
      <xdr:row>2</xdr:row>
      <xdr:rowOff>152400</xdr:rowOff>
    </xdr:to>
    <xdr:sp macro="[0]!UserForm1_2_select" textlink="">
      <xdr:nvSpPr>
        <xdr:cNvPr id="8" name="Rounded Rectangle 7">
          <a:extLst>
            <a:ext uri="{FF2B5EF4-FFF2-40B4-BE49-F238E27FC236}">
              <a16:creationId xmlns:a16="http://schemas.microsoft.com/office/drawing/2014/main" id="{00000000-0008-0000-0600-000008000000}"/>
            </a:ext>
          </a:extLst>
        </xdr:cNvPr>
        <xdr:cNvSpPr/>
      </xdr:nvSpPr>
      <xdr:spPr>
        <a:xfrm>
          <a:off x="94773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editAs="absolute">
    <xdr:from>
      <xdr:col>13</xdr:col>
      <xdr:colOff>9525</xdr:colOff>
      <xdr:row>0</xdr:row>
      <xdr:rowOff>180975</xdr:rowOff>
    </xdr:from>
    <xdr:to>
      <xdr:col>14</xdr:col>
      <xdr:colOff>523875</xdr:colOff>
      <xdr:row>2</xdr:row>
      <xdr:rowOff>180975</xdr:rowOff>
    </xdr:to>
    <xdr:sp macro="[0]!UserForm3_4_4_legal_select" textlink="">
      <xdr:nvSpPr>
        <xdr:cNvPr id="2" name="Rounded Rectangle 1">
          <a:extLst>
            <a:ext uri="{FF2B5EF4-FFF2-40B4-BE49-F238E27FC236}">
              <a16:creationId xmlns:a16="http://schemas.microsoft.com/office/drawing/2014/main" id="{00000000-0008-0000-3000-000002000000}"/>
            </a:ext>
          </a:extLst>
        </xdr:cNvPr>
        <xdr:cNvSpPr/>
      </xdr:nvSpPr>
      <xdr:spPr>
        <a:xfrm>
          <a:off x="11049000" y="18097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485775</xdr:colOff>
      <xdr:row>1</xdr:row>
      <xdr:rowOff>0</xdr:rowOff>
    </xdr:from>
    <xdr:to>
      <xdr:col>12</xdr:col>
      <xdr:colOff>390525</xdr:colOff>
      <xdr:row>2</xdr:row>
      <xdr:rowOff>190500</xdr:rowOff>
    </xdr:to>
    <xdr:sp macro="[0]!UserForm3_4_4_select" textlink="">
      <xdr:nvSpPr>
        <xdr:cNvPr id="3" name="Rounded Rectangle 2">
          <a:extLst>
            <a:ext uri="{FF2B5EF4-FFF2-40B4-BE49-F238E27FC236}">
              <a16:creationId xmlns:a16="http://schemas.microsoft.com/office/drawing/2014/main" id="{00000000-0008-0000-3000-000003000000}"/>
            </a:ext>
          </a:extLst>
        </xdr:cNvPr>
        <xdr:cNvSpPr/>
      </xdr:nvSpPr>
      <xdr:spPr>
        <a:xfrm>
          <a:off x="969645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476250</xdr:colOff>
      <xdr:row>4</xdr:row>
      <xdr:rowOff>0</xdr:rowOff>
    </xdr:from>
    <xdr:to>
      <xdr:col>12</xdr:col>
      <xdr:colOff>400050</xdr:colOff>
      <xdr:row>5</xdr:row>
      <xdr:rowOff>190500</xdr:rowOff>
    </xdr:to>
    <xdr:sp macro="[0]!UserForm_Navigator_select" textlink="">
      <xdr:nvSpPr>
        <xdr:cNvPr id="6" name="Rounded Rectangle 5">
          <a:extLst>
            <a:ext uri="{FF2B5EF4-FFF2-40B4-BE49-F238E27FC236}">
              <a16:creationId xmlns:a16="http://schemas.microsoft.com/office/drawing/2014/main" id="{00000000-0008-0000-3000-000006000000}"/>
            </a:ext>
          </a:extLst>
        </xdr:cNvPr>
        <xdr:cNvSpPr/>
      </xdr:nvSpPr>
      <xdr:spPr>
        <a:xfrm>
          <a:off x="9686925"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editAs="absolute">
    <xdr:from>
      <xdr:col>10</xdr:col>
      <xdr:colOff>561975</xdr:colOff>
      <xdr:row>4</xdr:row>
      <xdr:rowOff>0</xdr:rowOff>
    </xdr:from>
    <xdr:to>
      <xdr:col>12</xdr:col>
      <xdr:colOff>485775</xdr:colOff>
      <xdr:row>5</xdr:row>
      <xdr:rowOff>190500</xdr:rowOff>
    </xdr:to>
    <xdr:sp macro="[0]!UserForm_Navigator_select" textlink="">
      <xdr:nvSpPr>
        <xdr:cNvPr id="4" name="Rounded Rectangle 3">
          <a:extLst>
            <a:ext uri="{FF2B5EF4-FFF2-40B4-BE49-F238E27FC236}">
              <a16:creationId xmlns:a16="http://schemas.microsoft.com/office/drawing/2014/main" id="{00000000-0008-0000-3100-000004000000}"/>
            </a:ext>
          </a:extLst>
        </xdr:cNvPr>
        <xdr:cNvSpPr/>
      </xdr:nvSpPr>
      <xdr:spPr>
        <a:xfrm>
          <a:off x="98869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13</xdr:col>
      <xdr:colOff>85725</xdr:colOff>
      <xdr:row>1</xdr:row>
      <xdr:rowOff>0</xdr:rowOff>
    </xdr:from>
    <xdr:to>
      <xdr:col>14</xdr:col>
      <xdr:colOff>600075</xdr:colOff>
      <xdr:row>2</xdr:row>
      <xdr:rowOff>190500</xdr:rowOff>
    </xdr:to>
    <xdr:sp macro="[0]!UserForm3_4_5_legal_select" textlink="">
      <xdr:nvSpPr>
        <xdr:cNvPr id="5" name="Rounded Rectangle 4">
          <a:extLst>
            <a:ext uri="{FF2B5EF4-FFF2-40B4-BE49-F238E27FC236}">
              <a16:creationId xmlns:a16="http://schemas.microsoft.com/office/drawing/2014/main" id="{00000000-0008-0000-3100-000005000000}"/>
            </a:ext>
          </a:extLst>
        </xdr:cNvPr>
        <xdr:cNvSpPr/>
      </xdr:nvSpPr>
      <xdr:spPr>
        <a:xfrm>
          <a:off x="112395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561975</xdr:colOff>
      <xdr:row>1</xdr:row>
      <xdr:rowOff>9525</xdr:rowOff>
    </xdr:from>
    <xdr:to>
      <xdr:col>12</xdr:col>
      <xdr:colOff>466725</xdr:colOff>
      <xdr:row>3</xdr:row>
      <xdr:rowOff>0</xdr:rowOff>
    </xdr:to>
    <xdr:sp macro="[0]!UserForm3_4_5_select" textlink="">
      <xdr:nvSpPr>
        <xdr:cNvPr id="6" name="Rounded Rectangle 5">
          <a:extLst>
            <a:ext uri="{FF2B5EF4-FFF2-40B4-BE49-F238E27FC236}">
              <a16:creationId xmlns:a16="http://schemas.microsoft.com/office/drawing/2014/main" id="{00000000-0008-0000-3100-000006000000}"/>
            </a:ext>
          </a:extLst>
        </xdr:cNvPr>
        <xdr:cNvSpPr/>
      </xdr:nvSpPr>
      <xdr:spPr>
        <a:xfrm>
          <a:off x="98869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2.xml><?xml version="1.0" encoding="utf-8"?>
<xdr:wsDr xmlns:xdr="http://schemas.openxmlformats.org/drawingml/2006/spreadsheetDrawing" xmlns:a="http://schemas.openxmlformats.org/drawingml/2006/main">
  <xdr:twoCellAnchor editAs="absolute">
    <xdr:from>
      <xdr:col>12</xdr:col>
      <xdr:colOff>556624</xdr:colOff>
      <xdr:row>1</xdr:row>
      <xdr:rowOff>0</xdr:rowOff>
    </xdr:from>
    <xdr:to>
      <xdr:col>12</xdr:col>
      <xdr:colOff>1681196</xdr:colOff>
      <xdr:row>2</xdr:row>
      <xdr:rowOff>190500</xdr:rowOff>
    </xdr:to>
    <xdr:sp macro="[0]!UserForm3_4_6_legal_select" textlink="">
      <xdr:nvSpPr>
        <xdr:cNvPr id="3" name="Rounded Rectangle 2">
          <a:extLst>
            <a:ext uri="{FF2B5EF4-FFF2-40B4-BE49-F238E27FC236}">
              <a16:creationId xmlns:a16="http://schemas.microsoft.com/office/drawing/2014/main" id="{00000000-0008-0000-3200-000003000000}"/>
            </a:ext>
          </a:extLst>
        </xdr:cNvPr>
        <xdr:cNvSpPr/>
      </xdr:nvSpPr>
      <xdr:spPr>
        <a:xfrm>
          <a:off x="112395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561975</xdr:colOff>
      <xdr:row>1</xdr:row>
      <xdr:rowOff>9525</xdr:rowOff>
    </xdr:from>
    <xdr:to>
      <xdr:col>12</xdr:col>
      <xdr:colOff>327596</xdr:colOff>
      <xdr:row>3</xdr:row>
      <xdr:rowOff>0</xdr:rowOff>
    </xdr:to>
    <xdr:sp macro="[0]!UserForm3_4_6_select" textlink="">
      <xdr:nvSpPr>
        <xdr:cNvPr id="4" name="Rounded Rectangle 3">
          <a:extLst>
            <a:ext uri="{FF2B5EF4-FFF2-40B4-BE49-F238E27FC236}">
              <a16:creationId xmlns:a16="http://schemas.microsoft.com/office/drawing/2014/main" id="{00000000-0008-0000-3200-000004000000}"/>
            </a:ext>
          </a:extLst>
        </xdr:cNvPr>
        <xdr:cNvSpPr/>
      </xdr:nvSpPr>
      <xdr:spPr>
        <a:xfrm>
          <a:off x="98869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561975</xdr:colOff>
      <xdr:row>4</xdr:row>
      <xdr:rowOff>0</xdr:rowOff>
    </xdr:from>
    <xdr:to>
      <xdr:col>12</xdr:col>
      <xdr:colOff>346646</xdr:colOff>
      <xdr:row>5</xdr:row>
      <xdr:rowOff>190500</xdr:rowOff>
    </xdr:to>
    <xdr:sp macro="[0]!UserForm_Navigator_select" textlink="">
      <xdr:nvSpPr>
        <xdr:cNvPr id="6" name="Rounded Rectangle 5">
          <a:extLst>
            <a:ext uri="{FF2B5EF4-FFF2-40B4-BE49-F238E27FC236}">
              <a16:creationId xmlns:a16="http://schemas.microsoft.com/office/drawing/2014/main" id="{00000000-0008-0000-3200-000006000000}"/>
            </a:ext>
          </a:extLst>
        </xdr:cNvPr>
        <xdr:cNvSpPr/>
      </xdr:nvSpPr>
      <xdr:spPr>
        <a:xfrm>
          <a:off x="98869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xdr:from>
      <xdr:col>9</xdr:col>
      <xdr:colOff>9836</xdr:colOff>
      <xdr:row>16</xdr:row>
      <xdr:rowOff>310535</xdr:rowOff>
    </xdr:from>
    <xdr:to>
      <xdr:col>11</xdr:col>
      <xdr:colOff>579238</xdr:colOff>
      <xdr:row>17</xdr:row>
      <xdr:rowOff>482090</xdr:rowOff>
    </xdr:to>
    <xdr:sp macro="" textlink="">
      <xdr:nvSpPr>
        <xdr:cNvPr id="5" name="Arrow: Left 4">
          <a:extLst>
            <a:ext uri="{FF2B5EF4-FFF2-40B4-BE49-F238E27FC236}">
              <a16:creationId xmlns:a16="http://schemas.microsoft.com/office/drawing/2014/main" id="{681E77D1-519E-46E4-9B3D-AAFD5ED2068A}"/>
            </a:ext>
          </a:extLst>
        </xdr:cNvPr>
        <xdr:cNvSpPr/>
      </xdr:nvSpPr>
      <xdr:spPr>
        <a:xfrm rot="20539985">
          <a:off x="9249086" y="5084941"/>
          <a:ext cx="1438558" cy="778774"/>
        </a:xfrm>
        <a:prstGeom prst="leftArrow">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endParaRPr lang="x-none" sz="1100" b="1">
            <a:solidFill>
              <a:schemeClr val="bg1"/>
            </a:solidFill>
          </a:endParaRPr>
        </a:p>
      </xdr:txBody>
    </xdr:sp>
    <xdr:clientData/>
  </xdr:twoCellAnchor>
  <xdr:twoCellAnchor>
    <xdr:from>
      <xdr:col>12</xdr:col>
      <xdr:colOff>177800</xdr:colOff>
      <xdr:row>19</xdr:row>
      <xdr:rowOff>152400</xdr:rowOff>
    </xdr:from>
    <xdr:to>
      <xdr:col>15</xdr:col>
      <xdr:colOff>381000</xdr:colOff>
      <xdr:row>19</xdr:row>
      <xdr:rowOff>1571624</xdr:rowOff>
    </xdr:to>
    <xdr:sp macro="" textlink="">
      <xdr:nvSpPr>
        <xdr:cNvPr id="7" name="Rectangle 6">
          <a:extLst>
            <a:ext uri="{FF2B5EF4-FFF2-40B4-BE49-F238E27FC236}">
              <a16:creationId xmlns:a16="http://schemas.microsoft.com/office/drawing/2014/main" id="{F995B085-B8EB-4181-8000-14F71F93B289}"/>
            </a:ext>
          </a:extLst>
        </xdr:cNvPr>
        <xdr:cNvSpPr/>
      </xdr:nvSpPr>
      <xdr:spPr>
        <a:xfrm>
          <a:off x="10893425" y="6319838"/>
          <a:ext cx="5608638" cy="1419224"/>
        </a:xfrm>
        <a:prstGeom prst="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US" sz="2000" b="1">
              <a:solidFill>
                <a:schemeClr val="bg1"/>
              </a:solidFill>
            </a:rPr>
            <a:t>Staff costs + pensions + training costs for the additional ATCOs between</a:t>
          </a:r>
          <a:r>
            <a:rPr lang="en-US" sz="2000" b="1" baseline="0">
              <a:solidFill>
                <a:schemeClr val="bg1"/>
              </a:solidFill>
            </a:rPr>
            <a:t> 2020 and 2024</a:t>
          </a:r>
          <a:endParaRPr lang="x-none" sz="2000" b="1">
            <a:solidFill>
              <a:schemeClr val="bg1"/>
            </a:solidFill>
          </a:endParaRPr>
        </a:p>
      </xdr:txBody>
    </xdr:sp>
    <xdr:clientData/>
  </xdr:twoCellAnchor>
  <xdr:twoCellAnchor>
    <xdr:from>
      <xdr:col>8</xdr:col>
      <xdr:colOff>685072</xdr:colOff>
      <xdr:row>19</xdr:row>
      <xdr:rowOff>780671</xdr:rowOff>
    </xdr:from>
    <xdr:to>
      <xdr:col>12</xdr:col>
      <xdr:colOff>49055</xdr:colOff>
      <xdr:row>19</xdr:row>
      <xdr:rowOff>1550476</xdr:rowOff>
    </xdr:to>
    <xdr:sp macro="" textlink="">
      <xdr:nvSpPr>
        <xdr:cNvPr id="8" name="Arrow: Left 7">
          <a:extLst>
            <a:ext uri="{FF2B5EF4-FFF2-40B4-BE49-F238E27FC236}">
              <a16:creationId xmlns:a16="http://schemas.microsoft.com/office/drawing/2014/main" id="{CF966F41-20CA-4B4B-8C4B-6060B67E4071}"/>
            </a:ext>
          </a:extLst>
        </xdr:cNvPr>
        <xdr:cNvSpPr/>
      </xdr:nvSpPr>
      <xdr:spPr>
        <a:xfrm rot="20689997">
          <a:off x="9138510" y="6948109"/>
          <a:ext cx="1626170" cy="769805"/>
        </a:xfrm>
        <a:prstGeom prst="leftArrow">
          <a:avLst>
            <a:gd name="adj1" fmla="val 50000"/>
            <a:gd name="adj2" fmla="val 57665"/>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endParaRPr lang="x-none" sz="1100" b="1">
            <a:solidFill>
              <a:schemeClr val="bg1"/>
            </a:solidFill>
          </a:endParaRPr>
        </a:p>
      </xdr:txBody>
    </xdr:sp>
    <xdr:clientData/>
  </xdr:twoCellAnchor>
  <xdr:twoCellAnchor>
    <xdr:from>
      <xdr:col>12</xdr:col>
      <xdr:colOff>698500</xdr:colOff>
      <xdr:row>25</xdr:row>
      <xdr:rowOff>101600</xdr:rowOff>
    </xdr:from>
    <xdr:to>
      <xdr:col>16</xdr:col>
      <xdr:colOff>279400</xdr:colOff>
      <xdr:row>30</xdr:row>
      <xdr:rowOff>127000</xdr:rowOff>
    </xdr:to>
    <xdr:sp macro="" textlink="">
      <xdr:nvSpPr>
        <xdr:cNvPr id="9" name="Rectangle 8">
          <a:extLst>
            <a:ext uri="{FF2B5EF4-FFF2-40B4-BE49-F238E27FC236}">
              <a16:creationId xmlns:a16="http://schemas.microsoft.com/office/drawing/2014/main" id="{1C6B7D55-1B82-4DB4-939C-9E36B50D30AB}"/>
            </a:ext>
          </a:extLst>
        </xdr:cNvPr>
        <xdr:cNvSpPr/>
      </xdr:nvSpPr>
      <xdr:spPr>
        <a:xfrm>
          <a:off x="11385550" y="8883650"/>
          <a:ext cx="5600700" cy="1749425"/>
        </a:xfrm>
        <a:prstGeom prst="rect">
          <a:avLst/>
        </a:prstGeom>
        <a:solidFill>
          <a:schemeClr val="accent6">
            <a:lumMod val="40000"/>
            <a:lumOff val="60000"/>
          </a:schemeClr>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US" sz="2000" b="1">
              <a:solidFill>
                <a:schemeClr val="tx1"/>
              </a:solidFill>
            </a:rPr>
            <a:t>Depreciation</a:t>
          </a:r>
          <a:r>
            <a:rPr lang="en-US" sz="2000" b="1" baseline="0">
              <a:solidFill>
                <a:schemeClr val="tx1"/>
              </a:solidFill>
            </a:rPr>
            <a:t> + cost of capital</a:t>
          </a:r>
          <a:endParaRPr lang="x-none" sz="2000" b="1">
            <a:solidFill>
              <a:schemeClr val="tx1"/>
            </a:solidFill>
          </a:endParaRPr>
        </a:p>
      </xdr:txBody>
    </xdr:sp>
    <xdr:clientData/>
  </xdr:twoCellAnchor>
  <xdr:twoCellAnchor>
    <xdr:from>
      <xdr:col>10</xdr:col>
      <xdr:colOff>303699</xdr:colOff>
      <xdr:row>26</xdr:row>
      <xdr:rowOff>194648</xdr:rowOff>
    </xdr:from>
    <xdr:to>
      <xdr:col>12</xdr:col>
      <xdr:colOff>481763</xdr:colOff>
      <xdr:row>28</xdr:row>
      <xdr:rowOff>153301</xdr:rowOff>
    </xdr:to>
    <xdr:sp macro="" textlink="">
      <xdr:nvSpPr>
        <xdr:cNvPr id="10" name="Arrow: Left 9">
          <a:extLst>
            <a:ext uri="{FF2B5EF4-FFF2-40B4-BE49-F238E27FC236}">
              <a16:creationId xmlns:a16="http://schemas.microsoft.com/office/drawing/2014/main" id="{F4808A38-2532-48DC-9F0D-4B5054A3480C}"/>
            </a:ext>
          </a:extLst>
        </xdr:cNvPr>
        <xdr:cNvSpPr/>
      </xdr:nvSpPr>
      <xdr:spPr>
        <a:xfrm>
          <a:off x="9628674" y="9471998"/>
          <a:ext cx="1540139" cy="644453"/>
        </a:xfrm>
        <a:prstGeom prst="leftArrow">
          <a:avLst/>
        </a:prstGeom>
        <a:solidFill>
          <a:schemeClr val="accent6">
            <a:lumMod val="50000"/>
          </a:schemeClr>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endParaRPr lang="x-none" sz="1100" b="1">
            <a:solidFill>
              <a:schemeClr val="bg1"/>
            </a:solidFill>
          </a:endParaRPr>
        </a:p>
      </xdr:txBody>
    </xdr:sp>
    <xdr:clientData/>
  </xdr:twoCellAnchor>
  <xdr:twoCellAnchor>
    <xdr:from>
      <xdr:col>10</xdr:col>
      <xdr:colOff>368298</xdr:colOff>
      <xdr:row>24</xdr:row>
      <xdr:rowOff>300348</xdr:rowOff>
    </xdr:from>
    <xdr:to>
      <xdr:col>12</xdr:col>
      <xdr:colOff>546362</xdr:colOff>
      <xdr:row>25</xdr:row>
      <xdr:rowOff>431242</xdr:rowOff>
    </xdr:to>
    <xdr:sp macro="" textlink="">
      <xdr:nvSpPr>
        <xdr:cNvPr id="11" name="Arrow: Left 10">
          <a:extLst>
            <a:ext uri="{FF2B5EF4-FFF2-40B4-BE49-F238E27FC236}">
              <a16:creationId xmlns:a16="http://schemas.microsoft.com/office/drawing/2014/main" id="{98C8199C-D977-4C3C-900A-193AD4B2977A}"/>
            </a:ext>
          </a:extLst>
        </xdr:cNvPr>
        <xdr:cNvSpPr/>
      </xdr:nvSpPr>
      <xdr:spPr>
        <a:xfrm rot="1055082">
          <a:off x="9726611" y="11873223"/>
          <a:ext cx="1535376" cy="702394"/>
        </a:xfrm>
        <a:prstGeom prst="leftArrow">
          <a:avLst/>
        </a:prstGeom>
        <a:solidFill>
          <a:schemeClr val="accent6">
            <a:lumMod val="50000"/>
          </a:schemeClr>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endParaRPr lang="x-none" sz="1100" b="1">
            <a:solidFill>
              <a:schemeClr val="bg1"/>
            </a:solidFill>
          </a:endParaRPr>
        </a:p>
      </xdr:txBody>
    </xdr:sp>
    <xdr:clientData/>
  </xdr:twoCellAnchor>
  <xdr:twoCellAnchor>
    <xdr:from>
      <xdr:col>10</xdr:col>
      <xdr:colOff>500062</xdr:colOff>
      <xdr:row>30</xdr:row>
      <xdr:rowOff>214311</xdr:rowOff>
    </xdr:from>
    <xdr:to>
      <xdr:col>12</xdr:col>
      <xdr:colOff>678126</xdr:colOff>
      <xdr:row>32</xdr:row>
      <xdr:rowOff>30089</xdr:rowOff>
    </xdr:to>
    <xdr:sp macro="" textlink="">
      <xdr:nvSpPr>
        <xdr:cNvPr id="12" name="Arrow: Left 11">
          <a:extLst>
            <a:ext uri="{FF2B5EF4-FFF2-40B4-BE49-F238E27FC236}">
              <a16:creationId xmlns:a16="http://schemas.microsoft.com/office/drawing/2014/main" id="{FAD22821-7E9F-40BC-8A4B-A89ED4DE6881}"/>
            </a:ext>
          </a:extLst>
        </xdr:cNvPr>
        <xdr:cNvSpPr/>
      </xdr:nvSpPr>
      <xdr:spPr>
        <a:xfrm rot="19850322">
          <a:off x="9858375" y="14096999"/>
          <a:ext cx="1535376" cy="649215"/>
        </a:xfrm>
        <a:prstGeom prst="leftArrow">
          <a:avLst/>
        </a:prstGeom>
        <a:solidFill>
          <a:schemeClr val="accent6">
            <a:lumMod val="50000"/>
          </a:schemeClr>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endParaRPr lang="x-none" sz="1100" b="1">
            <a:solidFill>
              <a:schemeClr val="bg1"/>
            </a:solidFill>
          </a:endParaRPr>
        </a:p>
      </xdr:txBody>
    </xdr:sp>
    <xdr:clientData/>
  </xdr:twoCellAnchor>
  <xdr:twoCellAnchor editAs="oneCell">
    <xdr:from>
      <xdr:col>1</xdr:col>
      <xdr:colOff>71437</xdr:colOff>
      <xdr:row>19</xdr:row>
      <xdr:rowOff>773907</xdr:rowOff>
    </xdr:from>
    <xdr:to>
      <xdr:col>8</xdr:col>
      <xdr:colOff>634726</xdr:colOff>
      <xdr:row>19</xdr:row>
      <xdr:rowOff>3452812</xdr:rowOff>
    </xdr:to>
    <xdr:pic>
      <xdr:nvPicPr>
        <xdr:cNvPr id="2" name="Picture 1">
          <a:extLst>
            <a:ext uri="{FF2B5EF4-FFF2-40B4-BE49-F238E27FC236}">
              <a16:creationId xmlns:a16="http://schemas.microsoft.com/office/drawing/2014/main" id="{8D886EE0-8823-6601-9B01-BF2D590FA931}"/>
            </a:ext>
          </a:extLst>
        </xdr:cNvPr>
        <xdr:cNvPicPr>
          <a:picLocks noChangeAspect="1"/>
        </xdr:cNvPicPr>
      </xdr:nvPicPr>
      <xdr:blipFill>
        <a:blip xmlns:r="http://schemas.openxmlformats.org/officeDocument/2006/relationships" r:embed="rId1" cstate="print"/>
        <a:stretch>
          <a:fillRect/>
        </a:stretch>
      </xdr:blipFill>
      <xdr:spPr>
        <a:xfrm>
          <a:off x="678656" y="7060407"/>
          <a:ext cx="8409508" cy="267890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10</xdr:col>
      <xdr:colOff>0</xdr:colOff>
      <xdr:row>4</xdr:row>
      <xdr:rowOff>0</xdr:rowOff>
    </xdr:from>
    <xdr:to>
      <xdr:col>11</xdr:col>
      <xdr:colOff>533400</xdr:colOff>
      <xdr:row>198</xdr:row>
      <xdr:rowOff>9525</xdr:rowOff>
    </xdr:to>
    <xdr:sp macro="[0]!UserForm_Navigator_select" textlink="">
      <xdr:nvSpPr>
        <xdr:cNvPr id="6" name="Rounded Rectangle 5">
          <a:extLst>
            <a:ext uri="{FF2B5EF4-FFF2-40B4-BE49-F238E27FC236}">
              <a16:creationId xmlns:a16="http://schemas.microsoft.com/office/drawing/2014/main" id="{00000000-0008-0000-3400-000006000000}"/>
            </a:ext>
          </a:extLst>
        </xdr:cNvPr>
        <xdr:cNvSpPr/>
      </xdr:nvSpPr>
      <xdr:spPr>
        <a:xfrm>
          <a:off x="9534525" y="7810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12</xdr:col>
      <xdr:colOff>133350</xdr:colOff>
      <xdr:row>1</xdr:row>
      <xdr:rowOff>0</xdr:rowOff>
    </xdr:from>
    <xdr:to>
      <xdr:col>14</xdr:col>
      <xdr:colOff>38100</xdr:colOff>
      <xdr:row>3</xdr:row>
      <xdr:rowOff>0</xdr:rowOff>
    </xdr:to>
    <xdr:sp macro="[0]!UserForm3_5_legal_select" textlink="">
      <xdr:nvSpPr>
        <xdr:cNvPr id="7" name="Rounded Rectangle 6">
          <a:extLst>
            <a:ext uri="{FF2B5EF4-FFF2-40B4-BE49-F238E27FC236}">
              <a16:creationId xmlns:a16="http://schemas.microsoft.com/office/drawing/2014/main" id="{00000000-0008-0000-3400-000007000000}"/>
            </a:ext>
          </a:extLst>
        </xdr:cNvPr>
        <xdr:cNvSpPr/>
      </xdr:nvSpPr>
      <xdr:spPr>
        <a:xfrm>
          <a:off x="108870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0</xdr:colOff>
      <xdr:row>1</xdr:row>
      <xdr:rowOff>9525</xdr:rowOff>
    </xdr:from>
    <xdr:to>
      <xdr:col>11</xdr:col>
      <xdr:colOff>514350</xdr:colOff>
      <xdr:row>3</xdr:row>
      <xdr:rowOff>9525</xdr:rowOff>
    </xdr:to>
    <xdr:sp macro="[0]!UserForm3_5_select" textlink="">
      <xdr:nvSpPr>
        <xdr:cNvPr id="8" name="Rounded Rectangle 7">
          <a:extLst>
            <a:ext uri="{FF2B5EF4-FFF2-40B4-BE49-F238E27FC236}">
              <a16:creationId xmlns:a16="http://schemas.microsoft.com/office/drawing/2014/main" id="{00000000-0008-0000-3400-000008000000}"/>
            </a:ext>
          </a:extLst>
        </xdr:cNvPr>
        <xdr:cNvSpPr/>
      </xdr:nvSpPr>
      <xdr:spPr>
        <a:xfrm>
          <a:off x="953452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4.xml><?xml version="1.0" encoding="utf-8"?>
<xdr:wsDr xmlns:xdr="http://schemas.openxmlformats.org/drawingml/2006/spreadsheetDrawing" xmlns:a="http://schemas.openxmlformats.org/drawingml/2006/main">
  <xdr:twoCellAnchor editAs="absolute">
    <xdr:from>
      <xdr:col>4</xdr:col>
      <xdr:colOff>0</xdr:colOff>
      <xdr:row>3</xdr:row>
      <xdr:rowOff>0</xdr:rowOff>
    </xdr:from>
    <xdr:to>
      <xdr:col>5</xdr:col>
      <xdr:colOff>533400</xdr:colOff>
      <xdr:row>4</xdr:row>
      <xdr:rowOff>161925</xdr:rowOff>
    </xdr:to>
    <xdr:sp macro="[0]!UserForm_Navigator_select" textlink="">
      <xdr:nvSpPr>
        <xdr:cNvPr id="6" name="Rounded Rectangle 5">
          <a:extLst>
            <a:ext uri="{FF2B5EF4-FFF2-40B4-BE49-F238E27FC236}">
              <a16:creationId xmlns:a16="http://schemas.microsoft.com/office/drawing/2014/main" id="{00000000-0008-0000-3600-000006000000}"/>
            </a:ext>
          </a:extLst>
        </xdr:cNvPr>
        <xdr:cNvSpPr/>
      </xdr:nvSpPr>
      <xdr:spPr>
        <a:xfrm>
          <a:off x="9048750" y="83820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6</xdr:col>
      <xdr:colOff>133350</xdr:colOff>
      <xdr:row>1</xdr:row>
      <xdr:rowOff>0</xdr:rowOff>
    </xdr:from>
    <xdr:to>
      <xdr:col>8</xdr:col>
      <xdr:colOff>38100</xdr:colOff>
      <xdr:row>1</xdr:row>
      <xdr:rowOff>390525</xdr:rowOff>
    </xdr:to>
    <xdr:sp macro="[0]!UserForm3_6_legal_select" textlink="">
      <xdr:nvSpPr>
        <xdr:cNvPr id="7" name="Rounded Rectangle 6">
          <a:extLst>
            <a:ext uri="{FF2B5EF4-FFF2-40B4-BE49-F238E27FC236}">
              <a16:creationId xmlns:a16="http://schemas.microsoft.com/office/drawing/2014/main" id="{00000000-0008-0000-3600-000007000000}"/>
            </a:ext>
          </a:extLst>
        </xdr:cNvPr>
        <xdr:cNvSpPr/>
      </xdr:nvSpPr>
      <xdr:spPr>
        <a:xfrm>
          <a:off x="104013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4</xdr:col>
      <xdr:colOff>0</xdr:colOff>
      <xdr:row>1</xdr:row>
      <xdr:rowOff>9525</xdr:rowOff>
    </xdr:from>
    <xdr:to>
      <xdr:col>5</xdr:col>
      <xdr:colOff>514350</xdr:colOff>
      <xdr:row>1</xdr:row>
      <xdr:rowOff>400050</xdr:rowOff>
    </xdr:to>
    <xdr:sp macro="[0]!UserForm3_6_select" textlink="">
      <xdr:nvSpPr>
        <xdr:cNvPr id="8" name="Rounded Rectangle 7">
          <a:extLst>
            <a:ext uri="{FF2B5EF4-FFF2-40B4-BE49-F238E27FC236}">
              <a16:creationId xmlns:a16="http://schemas.microsoft.com/office/drawing/2014/main" id="{00000000-0008-0000-3600-000008000000}"/>
            </a:ext>
          </a:extLst>
        </xdr:cNvPr>
        <xdr:cNvSpPr/>
      </xdr:nvSpPr>
      <xdr:spPr>
        <a:xfrm>
          <a:off x="90487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editAs="absolute">
    <xdr:from>
      <xdr:col>5</xdr:col>
      <xdr:colOff>0</xdr:colOff>
      <xdr:row>4</xdr:row>
      <xdr:rowOff>0</xdr:rowOff>
    </xdr:from>
    <xdr:to>
      <xdr:col>6</xdr:col>
      <xdr:colOff>533400</xdr:colOff>
      <xdr:row>6</xdr:row>
      <xdr:rowOff>9525</xdr:rowOff>
    </xdr:to>
    <xdr:sp macro="[0]!UserForm_Navigator_select" textlink="">
      <xdr:nvSpPr>
        <xdr:cNvPr id="6" name="Rounded Rectangle 5">
          <a:extLst>
            <a:ext uri="{FF2B5EF4-FFF2-40B4-BE49-F238E27FC236}">
              <a16:creationId xmlns:a16="http://schemas.microsoft.com/office/drawing/2014/main" id="{00000000-0008-0000-3800-000006000000}"/>
            </a:ext>
          </a:extLst>
        </xdr:cNvPr>
        <xdr:cNvSpPr/>
      </xdr:nvSpPr>
      <xdr:spPr>
        <a:xfrm>
          <a:off x="9401175" y="8477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7</xdr:col>
      <xdr:colOff>133350</xdr:colOff>
      <xdr:row>1</xdr:row>
      <xdr:rowOff>0</xdr:rowOff>
    </xdr:from>
    <xdr:to>
      <xdr:col>9</xdr:col>
      <xdr:colOff>38100</xdr:colOff>
      <xdr:row>2</xdr:row>
      <xdr:rowOff>152400</xdr:rowOff>
    </xdr:to>
    <xdr:sp macro="[0]!UserForm4_1_legal_select" textlink="">
      <xdr:nvSpPr>
        <xdr:cNvPr id="7" name="Rounded Rectangle 6">
          <a:extLst>
            <a:ext uri="{FF2B5EF4-FFF2-40B4-BE49-F238E27FC236}">
              <a16:creationId xmlns:a16="http://schemas.microsoft.com/office/drawing/2014/main" id="{00000000-0008-0000-3800-000007000000}"/>
            </a:ext>
          </a:extLst>
        </xdr:cNvPr>
        <xdr:cNvSpPr/>
      </xdr:nvSpPr>
      <xdr:spPr>
        <a:xfrm>
          <a:off x="1075372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5</xdr:col>
      <xdr:colOff>0</xdr:colOff>
      <xdr:row>1</xdr:row>
      <xdr:rowOff>9525</xdr:rowOff>
    </xdr:from>
    <xdr:to>
      <xdr:col>6</xdr:col>
      <xdr:colOff>520700</xdr:colOff>
      <xdr:row>2</xdr:row>
      <xdr:rowOff>161925</xdr:rowOff>
    </xdr:to>
    <xdr:sp macro="[0]!UserForm4_1_select" textlink="">
      <xdr:nvSpPr>
        <xdr:cNvPr id="8" name="Rounded Rectangle 7">
          <a:extLst>
            <a:ext uri="{FF2B5EF4-FFF2-40B4-BE49-F238E27FC236}">
              <a16:creationId xmlns:a16="http://schemas.microsoft.com/office/drawing/2014/main" id="{00000000-0008-0000-3800-000008000000}"/>
            </a:ext>
          </a:extLst>
        </xdr:cNvPr>
        <xdr:cNvSpPr/>
      </xdr:nvSpPr>
      <xdr:spPr>
        <a:xfrm>
          <a:off x="9401175" y="200025"/>
          <a:ext cx="11303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6.xml><?xml version="1.0" encoding="utf-8"?>
<xdr:wsDr xmlns:xdr="http://schemas.openxmlformats.org/drawingml/2006/spreadsheetDrawing" xmlns:a="http://schemas.openxmlformats.org/drawingml/2006/main">
  <xdr:twoCellAnchor editAs="absolute">
    <xdr:from>
      <xdr:col>6</xdr:col>
      <xdr:colOff>76200</xdr:colOff>
      <xdr:row>1</xdr:row>
      <xdr:rowOff>0</xdr:rowOff>
    </xdr:from>
    <xdr:to>
      <xdr:col>7</xdr:col>
      <xdr:colOff>590550</xdr:colOff>
      <xdr:row>2</xdr:row>
      <xdr:rowOff>152400</xdr:rowOff>
    </xdr:to>
    <xdr:sp macro="[0]!UserForm4_2_legal_select" textlink="">
      <xdr:nvSpPr>
        <xdr:cNvPr id="5" name="Rounded Rectangle 4">
          <a:extLst>
            <a:ext uri="{FF2B5EF4-FFF2-40B4-BE49-F238E27FC236}">
              <a16:creationId xmlns:a16="http://schemas.microsoft.com/office/drawing/2014/main" id="{00000000-0008-0000-3900-000005000000}"/>
            </a:ext>
          </a:extLst>
        </xdr:cNvPr>
        <xdr:cNvSpPr/>
      </xdr:nvSpPr>
      <xdr:spPr>
        <a:xfrm>
          <a:off x="1044892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3</xdr:col>
      <xdr:colOff>57150</xdr:colOff>
      <xdr:row>1</xdr:row>
      <xdr:rowOff>9525</xdr:rowOff>
    </xdr:from>
    <xdr:to>
      <xdr:col>5</xdr:col>
      <xdr:colOff>457200</xdr:colOff>
      <xdr:row>2</xdr:row>
      <xdr:rowOff>161925</xdr:rowOff>
    </xdr:to>
    <xdr:sp macro="[0]!UserForm4_2_select" textlink="">
      <xdr:nvSpPr>
        <xdr:cNvPr id="6" name="Rounded Rectangle 5">
          <a:extLst>
            <a:ext uri="{FF2B5EF4-FFF2-40B4-BE49-F238E27FC236}">
              <a16:creationId xmlns:a16="http://schemas.microsoft.com/office/drawing/2014/main" id="{00000000-0008-0000-3900-000006000000}"/>
            </a:ext>
          </a:extLst>
        </xdr:cNvPr>
        <xdr:cNvSpPr/>
      </xdr:nvSpPr>
      <xdr:spPr>
        <a:xfrm>
          <a:off x="909637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3</xdr:col>
      <xdr:colOff>57150</xdr:colOff>
      <xdr:row>4</xdr:row>
      <xdr:rowOff>0</xdr:rowOff>
    </xdr:from>
    <xdr:to>
      <xdr:col>5</xdr:col>
      <xdr:colOff>476250</xdr:colOff>
      <xdr:row>5</xdr:row>
      <xdr:rowOff>200025</xdr:rowOff>
    </xdr:to>
    <xdr:sp macro="[0]!UserForm_Navigator_select" textlink="">
      <xdr:nvSpPr>
        <xdr:cNvPr id="8" name="Rounded Rectangle 7">
          <a:extLst>
            <a:ext uri="{FF2B5EF4-FFF2-40B4-BE49-F238E27FC236}">
              <a16:creationId xmlns:a16="http://schemas.microsoft.com/office/drawing/2014/main" id="{00000000-0008-0000-3900-000008000000}"/>
            </a:ext>
          </a:extLst>
        </xdr:cNvPr>
        <xdr:cNvSpPr/>
      </xdr:nvSpPr>
      <xdr:spPr>
        <a:xfrm>
          <a:off x="9096375" y="8858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editAs="absolute">
    <xdr:from>
      <xdr:col>4</xdr:col>
      <xdr:colOff>476250</xdr:colOff>
      <xdr:row>3</xdr:row>
      <xdr:rowOff>133350</xdr:rowOff>
    </xdr:from>
    <xdr:to>
      <xdr:col>6</xdr:col>
      <xdr:colOff>400050</xdr:colOff>
      <xdr:row>3</xdr:row>
      <xdr:rowOff>523875</xdr:rowOff>
    </xdr:to>
    <xdr:sp macro="[0]!UserForm_Navigator_select" textlink="">
      <xdr:nvSpPr>
        <xdr:cNvPr id="4" name="Rounded Rectangle 3">
          <a:extLst>
            <a:ext uri="{FF2B5EF4-FFF2-40B4-BE49-F238E27FC236}">
              <a16:creationId xmlns:a16="http://schemas.microsoft.com/office/drawing/2014/main" id="{00000000-0008-0000-3A00-000004000000}"/>
            </a:ext>
          </a:extLst>
        </xdr:cNvPr>
        <xdr:cNvSpPr/>
      </xdr:nvSpPr>
      <xdr:spPr>
        <a:xfrm>
          <a:off x="9096375" y="7524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7</xdr:col>
      <xdr:colOff>0</xdr:colOff>
      <xdr:row>1</xdr:row>
      <xdr:rowOff>0</xdr:rowOff>
    </xdr:from>
    <xdr:to>
      <xdr:col>8</xdr:col>
      <xdr:colOff>514350</xdr:colOff>
      <xdr:row>2</xdr:row>
      <xdr:rowOff>152400</xdr:rowOff>
    </xdr:to>
    <xdr:sp macro="[0]!UserForm4_3_legal_select" textlink="">
      <xdr:nvSpPr>
        <xdr:cNvPr id="5" name="Rounded Rectangle 4">
          <a:extLst>
            <a:ext uri="{FF2B5EF4-FFF2-40B4-BE49-F238E27FC236}">
              <a16:creationId xmlns:a16="http://schemas.microsoft.com/office/drawing/2014/main" id="{00000000-0008-0000-3A00-000005000000}"/>
            </a:ext>
          </a:extLst>
        </xdr:cNvPr>
        <xdr:cNvSpPr/>
      </xdr:nvSpPr>
      <xdr:spPr>
        <a:xfrm>
          <a:off x="1044892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4</xdr:col>
      <xdr:colOff>476250</xdr:colOff>
      <xdr:row>1</xdr:row>
      <xdr:rowOff>9525</xdr:rowOff>
    </xdr:from>
    <xdr:to>
      <xdr:col>6</xdr:col>
      <xdr:colOff>381000</xdr:colOff>
      <xdr:row>2</xdr:row>
      <xdr:rowOff>161925</xdr:rowOff>
    </xdr:to>
    <xdr:sp macro="[0]!UserForm4_3_select" textlink="">
      <xdr:nvSpPr>
        <xdr:cNvPr id="6" name="Rounded Rectangle 5">
          <a:extLst>
            <a:ext uri="{FF2B5EF4-FFF2-40B4-BE49-F238E27FC236}">
              <a16:creationId xmlns:a16="http://schemas.microsoft.com/office/drawing/2014/main" id="{00000000-0008-0000-3A00-000006000000}"/>
            </a:ext>
          </a:extLst>
        </xdr:cNvPr>
        <xdr:cNvSpPr/>
      </xdr:nvSpPr>
      <xdr:spPr>
        <a:xfrm>
          <a:off x="909637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editAs="absolute">
    <xdr:from>
      <xdr:col>10</xdr:col>
      <xdr:colOff>0</xdr:colOff>
      <xdr:row>4</xdr:row>
      <xdr:rowOff>0</xdr:rowOff>
    </xdr:from>
    <xdr:to>
      <xdr:col>11</xdr:col>
      <xdr:colOff>628650</xdr:colOff>
      <xdr:row>7</xdr:row>
      <xdr:rowOff>9525</xdr:rowOff>
    </xdr:to>
    <xdr:sp macro="[0]!UserForm_Navigator_select" textlink="">
      <xdr:nvSpPr>
        <xdr:cNvPr id="4" name="Rounded Rectangle 3">
          <a:extLst>
            <a:ext uri="{FF2B5EF4-FFF2-40B4-BE49-F238E27FC236}">
              <a16:creationId xmlns:a16="http://schemas.microsoft.com/office/drawing/2014/main" id="{00000000-0008-0000-3C00-000004000000}"/>
            </a:ext>
          </a:extLst>
        </xdr:cNvPr>
        <xdr:cNvSpPr/>
      </xdr:nvSpPr>
      <xdr:spPr>
        <a:xfrm>
          <a:off x="9353550" y="8096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11</xdr:col>
      <xdr:colOff>838200</xdr:colOff>
      <xdr:row>1</xdr:row>
      <xdr:rowOff>0</xdr:rowOff>
    </xdr:from>
    <xdr:to>
      <xdr:col>13</xdr:col>
      <xdr:colOff>333375</xdr:colOff>
      <xdr:row>2</xdr:row>
      <xdr:rowOff>152400</xdr:rowOff>
    </xdr:to>
    <xdr:sp macro="[0]!UserForm5_1_legal_select" textlink="">
      <xdr:nvSpPr>
        <xdr:cNvPr id="5" name="Rounded Rectangle 4">
          <a:extLst>
            <a:ext uri="{FF2B5EF4-FFF2-40B4-BE49-F238E27FC236}">
              <a16:creationId xmlns:a16="http://schemas.microsoft.com/office/drawing/2014/main" id="{00000000-0008-0000-3C00-000005000000}"/>
            </a:ext>
          </a:extLst>
        </xdr:cNvPr>
        <xdr:cNvSpPr/>
      </xdr:nvSpPr>
      <xdr:spPr>
        <a:xfrm>
          <a:off x="107061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0</xdr:colOff>
      <xdr:row>1</xdr:row>
      <xdr:rowOff>9525</xdr:rowOff>
    </xdr:from>
    <xdr:to>
      <xdr:col>11</xdr:col>
      <xdr:colOff>609600</xdr:colOff>
      <xdr:row>2</xdr:row>
      <xdr:rowOff>161925</xdr:rowOff>
    </xdr:to>
    <xdr:sp macro="[0]!UserForm5_1_select" textlink="">
      <xdr:nvSpPr>
        <xdr:cNvPr id="6" name="Rounded Rectangle 5">
          <a:extLst>
            <a:ext uri="{FF2B5EF4-FFF2-40B4-BE49-F238E27FC236}">
              <a16:creationId xmlns:a16="http://schemas.microsoft.com/office/drawing/2014/main" id="{00000000-0008-0000-3C00-000006000000}"/>
            </a:ext>
          </a:extLst>
        </xdr:cNvPr>
        <xdr:cNvSpPr/>
      </xdr:nvSpPr>
      <xdr:spPr>
        <a:xfrm>
          <a:off x="935355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editAs="absolute">
    <xdr:from>
      <xdr:col>11</xdr:col>
      <xdr:colOff>731520</xdr:colOff>
      <xdr:row>1</xdr:row>
      <xdr:rowOff>9525</xdr:rowOff>
    </xdr:from>
    <xdr:to>
      <xdr:col>11</xdr:col>
      <xdr:colOff>1866788</xdr:colOff>
      <xdr:row>2</xdr:row>
      <xdr:rowOff>161925</xdr:rowOff>
    </xdr:to>
    <xdr:sp macro="[0]!UserForm5_2_1_select" textlink="">
      <xdr:nvSpPr>
        <xdr:cNvPr id="18" name="Rounded Rectangle 17">
          <a:extLst>
            <a:ext uri="{FF2B5EF4-FFF2-40B4-BE49-F238E27FC236}">
              <a16:creationId xmlns:a16="http://schemas.microsoft.com/office/drawing/2014/main" id="{00000000-0008-0000-3D00-000012000000}"/>
            </a:ext>
          </a:extLst>
        </xdr:cNvPr>
        <xdr:cNvSpPr/>
      </xdr:nvSpPr>
      <xdr:spPr>
        <a:xfrm>
          <a:off x="10896600" y="200025"/>
          <a:ext cx="1120028"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xdr:col>
      <xdr:colOff>19050</xdr:colOff>
      <xdr:row>25</xdr:row>
      <xdr:rowOff>304800</xdr:rowOff>
    </xdr:from>
    <xdr:to>
      <xdr:col>9</xdr:col>
      <xdr:colOff>933450</xdr:colOff>
      <xdr:row>41</xdr:row>
      <xdr:rowOff>361950</xdr:rowOff>
    </xdr:to>
    <xdr:grpSp>
      <xdr:nvGrpSpPr>
        <xdr:cNvPr id="30" name="Group 29">
          <a:extLst>
            <a:ext uri="{FF2B5EF4-FFF2-40B4-BE49-F238E27FC236}">
              <a16:creationId xmlns:a16="http://schemas.microsoft.com/office/drawing/2014/main" id="{00000000-0008-0000-3D00-00001E000000}"/>
            </a:ext>
          </a:extLst>
        </xdr:cNvPr>
        <xdr:cNvGrpSpPr/>
      </xdr:nvGrpSpPr>
      <xdr:grpSpPr>
        <a:xfrm>
          <a:off x="628650" y="5238750"/>
          <a:ext cx="9248775" cy="3810000"/>
          <a:chOff x="552449" y="6000750"/>
          <a:chExt cx="8801101" cy="3829050"/>
        </a:xfrm>
      </xdr:grpSpPr>
      <xdr:sp macro="" textlink="">
        <xdr:nvSpPr>
          <xdr:cNvPr id="31" name="Rectangle 30">
            <a:extLst>
              <a:ext uri="{FF2B5EF4-FFF2-40B4-BE49-F238E27FC236}">
                <a16:creationId xmlns:a16="http://schemas.microsoft.com/office/drawing/2014/main" id="{00000000-0008-0000-3D00-00001F000000}"/>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aphicFrame macro="">
        <xdr:nvGraphicFramePr>
          <xdr:cNvPr id="32" name="Chart 31">
            <a:extLst>
              <a:ext uri="{FF2B5EF4-FFF2-40B4-BE49-F238E27FC236}">
                <a16:creationId xmlns:a16="http://schemas.microsoft.com/office/drawing/2014/main" id="{00000000-0008-0000-3D00-000020000000}"/>
              </a:ext>
            </a:extLst>
          </xdr:cNvPr>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1"/>
          </a:graphicData>
        </a:graphic>
      </xdr:graphicFrame>
      <xdr:sp macro="" textlink="'Graphics data'!$K$7">
        <xdr:nvSpPr>
          <xdr:cNvPr id="33" name="TextBox 32">
            <a:extLst>
              <a:ext uri="{FF2B5EF4-FFF2-40B4-BE49-F238E27FC236}">
                <a16:creationId xmlns:a16="http://schemas.microsoft.com/office/drawing/2014/main" id="{00000000-0008-0000-3D00-000021000000}"/>
              </a:ext>
            </a:extLst>
          </xdr:cNvPr>
          <xdr:cNvSpPr txBox="1"/>
        </xdr:nvSpPr>
        <xdr:spPr>
          <a:xfrm>
            <a:off x="4917122" y="6238507"/>
            <a:ext cx="1071354" cy="3623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6F8E7E02-1A39-4985-9A61-9F459EC896D8}" type="TxLink">
              <a:rPr lang="el-GR" sz="1000" b="1" i="0" u="none" strike="noStrike">
                <a:solidFill>
                  <a:srgbClr val="000000"/>
                </a:solidFill>
                <a:latin typeface="Calibri"/>
                <a:cs typeface="Calibri"/>
              </a:rPr>
              <a:pPr/>
              <a:t>Δ of determined costs in year 2022</a:t>
            </a:fld>
            <a:endParaRPr lang="en-GB" sz="800" b="1"/>
          </a:p>
        </xdr:txBody>
      </xdr:sp>
      <xdr:sp macro="" textlink="'Graphics data'!$L$7">
        <xdr:nvSpPr>
          <xdr:cNvPr id="34" name="TextBox 33">
            <a:extLst>
              <a:ext uri="{FF2B5EF4-FFF2-40B4-BE49-F238E27FC236}">
                <a16:creationId xmlns:a16="http://schemas.microsoft.com/office/drawing/2014/main" id="{00000000-0008-0000-3D00-000022000000}"/>
              </a:ext>
            </a:extLst>
          </xdr:cNvPr>
          <xdr:cNvSpPr txBox="1"/>
        </xdr:nvSpPr>
        <xdr:spPr>
          <a:xfrm>
            <a:off x="8431196" y="7748391"/>
            <a:ext cx="855339" cy="3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FB536338-0DEA-4D2A-A1CD-D0086BCDE39F}" type="TxLink">
              <a:rPr lang="en-US" sz="1000" b="1" i="0" u="none" strike="noStrike">
                <a:solidFill>
                  <a:srgbClr val="000000"/>
                </a:solidFill>
                <a:latin typeface="Calibri"/>
                <a:cs typeface="Calibri"/>
              </a:rPr>
              <a:pPr/>
              <a:t>Enroute ATFM delay (min)</a:t>
            </a:fld>
            <a:endParaRPr lang="en-US" sz="800" b="1" i="0" u="none" strike="noStrike">
              <a:solidFill>
                <a:srgbClr val="000000"/>
              </a:solidFill>
              <a:latin typeface="Calibri"/>
              <a:cs typeface="Calibri"/>
            </a:endParaRPr>
          </a:p>
        </xdr:txBody>
      </xdr:sp>
      <xdr:sp macro="" textlink="">
        <xdr:nvSpPr>
          <xdr:cNvPr id="35" name="TextBox 34">
            <a:extLst>
              <a:ext uri="{FF2B5EF4-FFF2-40B4-BE49-F238E27FC236}">
                <a16:creationId xmlns:a16="http://schemas.microsoft.com/office/drawing/2014/main" id="{00000000-0008-0000-3D00-000023000000}"/>
              </a:ext>
            </a:extLst>
          </xdr:cNvPr>
          <xdr:cNvSpPr txBox="1"/>
        </xdr:nvSpPr>
        <xdr:spPr>
          <a:xfrm>
            <a:off x="638174" y="6033891"/>
            <a:ext cx="3422633" cy="3669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en-GB" sz="1100" b="1" i="0" u="none" strike="noStrike">
                <a:solidFill>
                  <a:srgbClr val="000000"/>
                </a:solidFill>
                <a:latin typeface="+mn-lt"/>
                <a:cs typeface="Calibri"/>
              </a:rPr>
              <a:t>Application of the en route incentive scheme in year 2022</a:t>
            </a:r>
          </a:p>
          <a:p>
            <a:r>
              <a:rPr lang="en-GB" sz="1100" b="1" i="0" u="none" strike="noStrike">
                <a:solidFill>
                  <a:srgbClr val="000000"/>
                </a:solidFill>
                <a:latin typeface="+mn-lt"/>
                <a:cs typeface="Calibri"/>
              </a:rPr>
              <a:t>(before any revision of the NOP reference values)</a:t>
            </a:r>
            <a:endParaRPr lang="en-US" sz="1100" b="1" i="0" u="none" strike="noStrike">
              <a:solidFill>
                <a:srgbClr val="000000"/>
              </a:solidFill>
              <a:latin typeface="Calibri"/>
              <a:cs typeface="Calibri"/>
            </a:endParaRPr>
          </a:p>
        </xdr:txBody>
      </xdr:sp>
      <xdr:sp macro="" textlink="'Graphics data'!$M$7">
        <xdr:nvSpPr>
          <xdr:cNvPr id="36" name="TextBox 35">
            <a:extLst>
              <a:ext uri="{FF2B5EF4-FFF2-40B4-BE49-F238E27FC236}">
                <a16:creationId xmlns:a16="http://schemas.microsoft.com/office/drawing/2014/main" id="{00000000-0008-0000-3D00-000024000000}"/>
              </a:ext>
            </a:extLst>
          </xdr:cNvPr>
          <xdr:cNvSpPr txBox="1"/>
        </xdr:nvSpPr>
        <xdr:spPr>
          <a:xfrm>
            <a:off x="7694464" y="9601200"/>
            <a:ext cx="1638518" cy="190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36A6365F-907F-47B0-83C4-DA639E097B5F}" type="TxLink">
              <a:rPr lang="en-US" sz="1000" b="0" i="1" u="none" strike="noStrike">
                <a:solidFill>
                  <a:srgbClr val="000000"/>
                </a:solidFill>
                <a:latin typeface="Calibri"/>
                <a:cs typeface="Calibri"/>
              </a:rPr>
              <a:pPr/>
              <a:t> </a:t>
            </a:fld>
            <a:endParaRPr lang="en-US" sz="800" b="0" i="1" u="none" strike="noStrike">
              <a:solidFill>
                <a:srgbClr val="000000"/>
              </a:solidFill>
              <a:latin typeface="Calibri"/>
              <a:cs typeface="Calibri"/>
            </a:endParaRPr>
          </a:p>
        </xdr:txBody>
      </xdr:sp>
    </xdr:grpSp>
    <xdr:clientData/>
  </xdr:twoCellAnchor>
  <xdr:twoCellAnchor editAs="absolute">
    <xdr:from>
      <xdr:col>11</xdr:col>
      <xdr:colOff>731520</xdr:colOff>
      <xdr:row>3</xdr:row>
      <xdr:rowOff>76200</xdr:rowOff>
    </xdr:from>
    <xdr:to>
      <xdr:col>11</xdr:col>
      <xdr:colOff>1889760</xdr:colOff>
      <xdr:row>5</xdr:row>
      <xdr:rowOff>47625</xdr:rowOff>
    </xdr:to>
    <xdr:sp macro="[0]!UserForm_Navigator_select" textlink="">
      <xdr:nvSpPr>
        <xdr:cNvPr id="12" name="Rounded Rectangle 11">
          <a:extLst>
            <a:ext uri="{FF2B5EF4-FFF2-40B4-BE49-F238E27FC236}">
              <a16:creationId xmlns:a16="http://schemas.microsoft.com/office/drawing/2014/main" id="{00000000-0008-0000-3D00-00000C000000}"/>
            </a:ext>
          </a:extLst>
        </xdr:cNvPr>
        <xdr:cNvSpPr/>
      </xdr:nvSpPr>
      <xdr:spPr>
        <a:xfrm>
          <a:off x="10896600" y="6953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11</xdr:col>
      <xdr:colOff>1981200</xdr:colOff>
      <xdr:row>1</xdr:row>
      <xdr:rowOff>0</xdr:rowOff>
    </xdr:from>
    <xdr:to>
      <xdr:col>13</xdr:col>
      <xdr:colOff>84493</xdr:colOff>
      <xdr:row>2</xdr:row>
      <xdr:rowOff>152400</xdr:rowOff>
    </xdr:to>
    <xdr:sp macro="[0]!UserForm5_2_1_legal_select" textlink="">
      <xdr:nvSpPr>
        <xdr:cNvPr id="13" name="Rounded Rectangle 12">
          <a:extLst>
            <a:ext uri="{FF2B5EF4-FFF2-40B4-BE49-F238E27FC236}">
              <a16:creationId xmlns:a16="http://schemas.microsoft.com/office/drawing/2014/main" id="{00000000-0008-0000-3D00-00000D000000}"/>
            </a:ext>
          </a:extLst>
        </xdr:cNvPr>
        <xdr:cNvSpPr/>
      </xdr:nvSpPr>
      <xdr:spPr>
        <a:xfrm>
          <a:off x="12115800" y="190500"/>
          <a:ext cx="1128433"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editAs="oneCell">
    <xdr:from>
      <xdr:col>9</xdr:col>
      <xdr:colOff>85725</xdr:colOff>
      <xdr:row>0</xdr:row>
      <xdr:rowOff>133350</xdr:rowOff>
    </xdr:from>
    <xdr:to>
      <xdr:col>10</xdr:col>
      <xdr:colOff>600075</xdr:colOff>
      <xdr:row>2</xdr:row>
      <xdr:rowOff>95250</xdr:rowOff>
    </xdr:to>
    <xdr:sp macro="[0]!UserForm1_3_legal_select" textlink="">
      <xdr:nvSpPr>
        <xdr:cNvPr id="2" name="Rounded Rectangle 1">
          <a:extLst>
            <a:ext uri="{FF2B5EF4-FFF2-40B4-BE49-F238E27FC236}">
              <a16:creationId xmlns:a16="http://schemas.microsoft.com/office/drawing/2014/main" id="{00000000-0008-0000-0700-000002000000}"/>
            </a:ext>
          </a:extLst>
        </xdr:cNvPr>
        <xdr:cNvSpPr/>
      </xdr:nvSpPr>
      <xdr:spPr>
        <a:xfrm>
          <a:off x="10991850" y="13335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oneCell">
    <xdr:from>
      <xdr:col>7</xdr:col>
      <xdr:colOff>0</xdr:colOff>
      <xdr:row>0</xdr:row>
      <xdr:rowOff>133350</xdr:rowOff>
    </xdr:from>
    <xdr:to>
      <xdr:col>8</xdr:col>
      <xdr:colOff>514350</xdr:colOff>
      <xdr:row>2</xdr:row>
      <xdr:rowOff>95250</xdr:rowOff>
    </xdr:to>
    <xdr:sp macro="[0]!UserForm1_3_select" textlink="">
      <xdr:nvSpPr>
        <xdr:cNvPr id="3" name="Rounded Rectangle 2">
          <a:extLst>
            <a:ext uri="{FF2B5EF4-FFF2-40B4-BE49-F238E27FC236}">
              <a16:creationId xmlns:a16="http://schemas.microsoft.com/office/drawing/2014/main" id="{00000000-0008-0000-0700-000003000000}"/>
            </a:ext>
          </a:extLst>
        </xdr:cNvPr>
        <xdr:cNvSpPr/>
      </xdr:nvSpPr>
      <xdr:spPr>
        <a:xfrm>
          <a:off x="9191625" y="13335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7</xdr:col>
      <xdr:colOff>0</xdr:colOff>
      <xdr:row>8</xdr:row>
      <xdr:rowOff>0</xdr:rowOff>
    </xdr:from>
    <xdr:to>
      <xdr:col>8</xdr:col>
      <xdr:colOff>514350</xdr:colOff>
      <xdr:row>9</xdr:row>
      <xdr:rowOff>161925</xdr:rowOff>
    </xdr:to>
    <xdr:sp macro="[0]!UserForm1_3_2_select" textlink="">
      <xdr:nvSpPr>
        <xdr:cNvPr id="5" name="Rounded Rectangle 4">
          <a:extLst>
            <a:ext uri="{FF2B5EF4-FFF2-40B4-BE49-F238E27FC236}">
              <a16:creationId xmlns:a16="http://schemas.microsoft.com/office/drawing/2014/main" id="{00000000-0008-0000-0700-000005000000}"/>
            </a:ext>
          </a:extLst>
        </xdr:cNvPr>
        <xdr:cNvSpPr/>
      </xdr:nvSpPr>
      <xdr:spPr>
        <a:xfrm>
          <a:off x="9686925" y="29718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7</xdr:col>
      <xdr:colOff>0</xdr:colOff>
      <xdr:row>22</xdr:row>
      <xdr:rowOff>0</xdr:rowOff>
    </xdr:from>
    <xdr:to>
      <xdr:col>8</xdr:col>
      <xdr:colOff>514350</xdr:colOff>
      <xdr:row>23</xdr:row>
      <xdr:rowOff>161925</xdr:rowOff>
    </xdr:to>
    <xdr:sp macro="[0]!UserForm1_3_3_select" textlink="">
      <xdr:nvSpPr>
        <xdr:cNvPr id="6" name="Rounded Rectangle 5">
          <a:extLst>
            <a:ext uri="{FF2B5EF4-FFF2-40B4-BE49-F238E27FC236}">
              <a16:creationId xmlns:a16="http://schemas.microsoft.com/office/drawing/2014/main" id="{00000000-0008-0000-0700-000006000000}"/>
            </a:ext>
          </a:extLst>
        </xdr:cNvPr>
        <xdr:cNvSpPr/>
      </xdr:nvSpPr>
      <xdr:spPr>
        <a:xfrm>
          <a:off x="9686925" y="73533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5</xdr:col>
      <xdr:colOff>263769</xdr:colOff>
      <xdr:row>3</xdr:row>
      <xdr:rowOff>1985</xdr:rowOff>
    </xdr:from>
    <xdr:to>
      <xdr:col>7</xdr:col>
      <xdr:colOff>533400</xdr:colOff>
      <xdr:row>4</xdr:row>
      <xdr:rowOff>161925</xdr:rowOff>
    </xdr:to>
    <xdr:sp macro="[0]!UserForm_Navigator_select" textlink="">
      <xdr:nvSpPr>
        <xdr:cNvPr id="7" name="Rounded Rectangle 6">
          <a:extLst>
            <a:ext uri="{FF2B5EF4-FFF2-40B4-BE49-F238E27FC236}">
              <a16:creationId xmlns:a16="http://schemas.microsoft.com/office/drawing/2014/main" id="{00000000-0008-0000-0700-000007000000}"/>
            </a:ext>
          </a:extLst>
        </xdr:cNvPr>
        <xdr:cNvSpPr/>
      </xdr:nvSpPr>
      <xdr:spPr>
        <a:xfrm>
          <a:off x="9191625" y="6191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editAs="absolute">
    <xdr:from>
      <xdr:col>12</xdr:col>
      <xdr:colOff>0</xdr:colOff>
      <xdr:row>1</xdr:row>
      <xdr:rowOff>9525</xdr:rowOff>
    </xdr:from>
    <xdr:to>
      <xdr:col>13</xdr:col>
      <xdr:colOff>514350</xdr:colOff>
      <xdr:row>2</xdr:row>
      <xdr:rowOff>171450</xdr:rowOff>
    </xdr:to>
    <xdr:sp macro="[0]!UserForm5_2_2_select" textlink="">
      <xdr:nvSpPr>
        <xdr:cNvPr id="12" name="Rounded Rectangle 11">
          <a:extLst>
            <a:ext uri="{FF2B5EF4-FFF2-40B4-BE49-F238E27FC236}">
              <a16:creationId xmlns:a16="http://schemas.microsoft.com/office/drawing/2014/main" id="{00000000-0008-0000-3E00-00000C000000}"/>
            </a:ext>
          </a:extLst>
        </xdr:cNvPr>
        <xdr:cNvSpPr/>
      </xdr:nvSpPr>
      <xdr:spPr>
        <a:xfrm>
          <a:off x="1089660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oneCell">
    <xdr:from>
      <xdr:col>1</xdr:col>
      <xdr:colOff>0</xdr:colOff>
      <xdr:row>23</xdr:row>
      <xdr:rowOff>0</xdr:rowOff>
    </xdr:from>
    <xdr:to>
      <xdr:col>9</xdr:col>
      <xdr:colOff>466726</xdr:colOff>
      <xdr:row>41</xdr:row>
      <xdr:rowOff>209550</xdr:rowOff>
    </xdr:to>
    <xdr:grpSp>
      <xdr:nvGrpSpPr>
        <xdr:cNvPr id="28" name="Group 27">
          <a:extLst>
            <a:ext uri="{FF2B5EF4-FFF2-40B4-BE49-F238E27FC236}">
              <a16:creationId xmlns:a16="http://schemas.microsoft.com/office/drawing/2014/main" id="{00000000-0008-0000-3E00-00001C000000}"/>
            </a:ext>
          </a:extLst>
        </xdr:cNvPr>
        <xdr:cNvGrpSpPr/>
      </xdr:nvGrpSpPr>
      <xdr:grpSpPr>
        <a:xfrm>
          <a:off x="609600" y="4657725"/>
          <a:ext cx="8801101" cy="3829050"/>
          <a:chOff x="552449" y="6000750"/>
          <a:chExt cx="8801101" cy="3829050"/>
        </a:xfrm>
      </xdr:grpSpPr>
      <xdr:sp macro="" textlink="">
        <xdr:nvSpPr>
          <xdr:cNvPr id="29" name="Rectangle 28">
            <a:extLst>
              <a:ext uri="{FF2B5EF4-FFF2-40B4-BE49-F238E27FC236}">
                <a16:creationId xmlns:a16="http://schemas.microsoft.com/office/drawing/2014/main" id="{00000000-0008-0000-3E00-00001D000000}"/>
              </a:ext>
            </a:extLst>
          </xdr:cNvPr>
          <xdr:cNvSpPr/>
        </xdr:nvSpPr>
        <xdr:spPr>
          <a:xfrm>
            <a:off x="552449" y="6000750"/>
            <a:ext cx="8801101" cy="3829050"/>
          </a:xfrm>
          <a:prstGeom prst="rect">
            <a:avLst/>
          </a:prstGeom>
          <a:solidFill>
            <a:schemeClr val="bg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aphicFrame macro="">
        <xdr:nvGraphicFramePr>
          <xdr:cNvPr id="30" name="Chart 29">
            <a:extLst>
              <a:ext uri="{FF2B5EF4-FFF2-40B4-BE49-F238E27FC236}">
                <a16:creationId xmlns:a16="http://schemas.microsoft.com/office/drawing/2014/main" id="{00000000-0008-0000-3E00-00001E000000}"/>
              </a:ext>
            </a:extLst>
          </xdr:cNvPr>
          <xdr:cNvGraphicFramePr/>
        </xdr:nvGraphicFramePr>
        <xdr:xfrm>
          <a:off x="628650" y="6096000"/>
          <a:ext cx="8696325" cy="3686174"/>
        </xdr:xfrm>
        <a:graphic>
          <a:graphicData uri="http://schemas.openxmlformats.org/drawingml/2006/chart">
            <c:chart xmlns:c="http://schemas.openxmlformats.org/drawingml/2006/chart" xmlns:r="http://schemas.openxmlformats.org/officeDocument/2006/relationships" r:id="rId1"/>
          </a:graphicData>
        </a:graphic>
      </xdr:graphicFrame>
      <xdr:sp macro="" textlink="'Graphics data'!$AE$7">
        <xdr:nvSpPr>
          <xdr:cNvPr id="31" name="TextBox 30">
            <a:extLst>
              <a:ext uri="{FF2B5EF4-FFF2-40B4-BE49-F238E27FC236}">
                <a16:creationId xmlns:a16="http://schemas.microsoft.com/office/drawing/2014/main" id="{00000000-0008-0000-3E00-00001F000000}"/>
              </a:ext>
            </a:extLst>
          </xdr:cNvPr>
          <xdr:cNvSpPr txBox="1"/>
        </xdr:nvSpPr>
        <xdr:spPr>
          <a:xfrm>
            <a:off x="4917124" y="6238507"/>
            <a:ext cx="1112201" cy="3527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9C2E6FAF-19AE-49C7-AC93-7911EAA25724}" type="TxLink">
              <a:rPr lang="el-GR" sz="1000" b="1" i="0" u="none" strike="noStrike">
                <a:solidFill>
                  <a:srgbClr val="000000"/>
                </a:solidFill>
                <a:latin typeface="Calibri"/>
                <a:cs typeface="Calibri"/>
              </a:rPr>
              <a:pPr/>
              <a:t>Δ of determined costs in year 2022</a:t>
            </a:fld>
            <a:endParaRPr lang="en-GB" sz="800" b="1"/>
          </a:p>
        </xdr:txBody>
      </xdr:sp>
      <xdr:sp macro="" textlink="'Graphics data'!$AF$7">
        <xdr:nvSpPr>
          <xdr:cNvPr id="32" name="TextBox 31">
            <a:extLst>
              <a:ext uri="{FF2B5EF4-FFF2-40B4-BE49-F238E27FC236}">
                <a16:creationId xmlns:a16="http://schemas.microsoft.com/office/drawing/2014/main" id="{00000000-0008-0000-3E00-000020000000}"/>
              </a:ext>
            </a:extLst>
          </xdr:cNvPr>
          <xdr:cNvSpPr txBox="1"/>
        </xdr:nvSpPr>
        <xdr:spPr>
          <a:xfrm>
            <a:off x="8460111" y="7919841"/>
            <a:ext cx="855339" cy="3135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D3F9C15B-88FF-4B06-982B-CDEAD5F8C39F}" type="TxLink">
              <a:rPr lang="en-US" sz="1000" b="1" i="0" u="none" strike="noStrike">
                <a:solidFill>
                  <a:srgbClr val="000000"/>
                </a:solidFill>
                <a:latin typeface="Calibri"/>
                <a:cs typeface="Calibri"/>
              </a:rPr>
              <a:pPr/>
              <a:t>Terminal ATFM delay (min)</a:t>
            </a:fld>
            <a:endParaRPr lang="en-US" sz="800" b="1" i="0" u="none" strike="noStrike">
              <a:solidFill>
                <a:srgbClr val="000000"/>
              </a:solidFill>
              <a:latin typeface="Calibri"/>
              <a:cs typeface="Calibri"/>
            </a:endParaRPr>
          </a:p>
        </xdr:txBody>
      </xdr:sp>
      <xdr:sp macro="" textlink="">
        <xdr:nvSpPr>
          <xdr:cNvPr id="33" name="TextBox 32">
            <a:extLst>
              <a:ext uri="{FF2B5EF4-FFF2-40B4-BE49-F238E27FC236}">
                <a16:creationId xmlns:a16="http://schemas.microsoft.com/office/drawing/2014/main" id="{00000000-0008-0000-3E00-000021000000}"/>
              </a:ext>
            </a:extLst>
          </xdr:cNvPr>
          <xdr:cNvSpPr txBox="1"/>
        </xdr:nvSpPr>
        <xdr:spPr>
          <a:xfrm>
            <a:off x="638176" y="6033891"/>
            <a:ext cx="3038474" cy="3444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r>
              <a:rPr lang="en-GB" sz="1100" b="1" i="0" u="none" strike="noStrike">
                <a:solidFill>
                  <a:srgbClr val="000000"/>
                </a:solidFill>
                <a:latin typeface="+mn-lt"/>
                <a:cs typeface="Calibri"/>
              </a:rPr>
              <a:t>Application of the terminal incentive scheme</a:t>
            </a:r>
          </a:p>
          <a:p>
            <a:r>
              <a:rPr lang="en-GB" sz="1100" b="1" i="0" u="none" strike="noStrike">
                <a:solidFill>
                  <a:srgbClr val="000000"/>
                </a:solidFill>
                <a:latin typeface="+mn-lt"/>
                <a:cs typeface="Calibri"/>
              </a:rPr>
              <a:t>in year 2022</a:t>
            </a:r>
            <a:endParaRPr lang="en-US" sz="1100" b="1" i="0" u="none" strike="noStrike">
              <a:solidFill>
                <a:srgbClr val="000000"/>
              </a:solidFill>
              <a:latin typeface="Calibri"/>
              <a:cs typeface="Calibri"/>
            </a:endParaRPr>
          </a:p>
        </xdr:txBody>
      </xdr:sp>
      <xdr:sp macro="" textlink="'Graphics data'!$AG$7">
        <xdr:nvSpPr>
          <xdr:cNvPr id="34" name="TextBox 33">
            <a:extLst>
              <a:ext uri="{FF2B5EF4-FFF2-40B4-BE49-F238E27FC236}">
                <a16:creationId xmlns:a16="http://schemas.microsoft.com/office/drawing/2014/main" id="{00000000-0008-0000-3E00-000022000000}"/>
              </a:ext>
            </a:extLst>
          </xdr:cNvPr>
          <xdr:cNvSpPr txBox="1"/>
        </xdr:nvSpPr>
        <xdr:spPr>
          <a:xfrm>
            <a:off x="7658100" y="9582150"/>
            <a:ext cx="1657350" cy="1644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spAutoFit/>
          </a:bodyPr>
          <a:lstStyle/>
          <a:p>
            <a:fld id="{BB3D07C7-C3BC-4D05-9777-B6FB3CB332B9}" type="TxLink">
              <a:rPr lang="en-US" sz="1050" b="0" i="1" u="none" strike="noStrike">
                <a:solidFill>
                  <a:srgbClr val="000000"/>
                </a:solidFill>
                <a:latin typeface="Calibri"/>
                <a:cs typeface="Calibri"/>
              </a:rPr>
              <a:pPr/>
              <a:t> </a:t>
            </a:fld>
            <a:endParaRPr lang="en-US" sz="1050" b="1" i="1" u="none" strike="noStrike">
              <a:solidFill>
                <a:srgbClr val="000000"/>
              </a:solidFill>
              <a:latin typeface="Calibri"/>
              <a:cs typeface="Calibri"/>
            </a:endParaRPr>
          </a:p>
        </xdr:txBody>
      </xdr:sp>
    </xdr:grpSp>
    <xdr:clientData/>
  </xdr:twoCellAnchor>
  <xdr:twoCellAnchor editAs="absolute">
    <xdr:from>
      <xdr:col>12</xdr:col>
      <xdr:colOff>0</xdr:colOff>
      <xdr:row>3</xdr:row>
      <xdr:rowOff>85725</xdr:rowOff>
    </xdr:from>
    <xdr:to>
      <xdr:col>13</xdr:col>
      <xdr:colOff>533400</xdr:colOff>
      <xdr:row>5</xdr:row>
      <xdr:rowOff>57150</xdr:rowOff>
    </xdr:to>
    <xdr:sp macro="[0]!UserForm_Navigator_select" textlink="">
      <xdr:nvSpPr>
        <xdr:cNvPr id="13" name="Rounded Rectangle 12">
          <a:extLst>
            <a:ext uri="{FF2B5EF4-FFF2-40B4-BE49-F238E27FC236}">
              <a16:creationId xmlns:a16="http://schemas.microsoft.com/office/drawing/2014/main" id="{00000000-0008-0000-3E00-00000D000000}"/>
            </a:ext>
          </a:extLst>
        </xdr:cNvPr>
        <xdr:cNvSpPr/>
      </xdr:nvSpPr>
      <xdr:spPr>
        <a:xfrm>
          <a:off x="10896600" y="6953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14</xdr:col>
      <xdr:colOff>0</xdr:colOff>
      <xdr:row>1</xdr:row>
      <xdr:rowOff>0</xdr:rowOff>
    </xdr:from>
    <xdr:to>
      <xdr:col>15</xdr:col>
      <xdr:colOff>209550</xdr:colOff>
      <xdr:row>2</xdr:row>
      <xdr:rowOff>161925</xdr:rowOff>
    </xdr:to>
    <xdr:sp macro="[0]!UserForm5_2_2_legal_select" textlink="">
      <xdr:nvSpPr>
        <xdr:cNvPr id="14" name="Rounded Rectangle 13">
          <a:extLst>
            <a:ext uri="{FF2B5EF4-FFF2-40B4-BE49-F238E27FC236}">
              <a16:creationId xmlns:a16="http://schemas.microsoft.com/office/drawing/2014/main" id="{00000000-0008-0000-3E00-00000E000000}"/>
            </a:ext>
          </a:extLst>
        </xdr:cNvPr>
        <xdr:cNvSpPr/>
      </xdr:nvSpPr>
      <xdr:spPr>
        <a:xfrm>
          <a:off x="1211580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editAs="absolute">
    <xdr:from>
      <xdr:col>10</xdr:col>
      <xdr:colOff>485775</xdr:colOff>
      <xdr:row>3</xdr:row>
      <xdr:rowOff>209550</xdr:rowOff>
    </xdr:from>
    <xdr:to>
      <xdr:col>12</xdr:col>
      <xdr:colOff>409575</xdr:colOff>
      <xdr:row>5</xdr:row>
      <xdr:rowOff>28575</xdr:rowOff>
    </xdr:to>
    <xdr:sp macro="[0]!UserForm_Navigator_select" textlink="">
      <xdr:nvSpPr>
        <xdr:cNvPr id="4" name="Rounded Rectangle 3">
          <a:extLst>
            <a:ext uri="{FF2B5EF4-FFF2-40B4-BE49-F238E27FC236}">
              <a16:creationId xmlns:a16="http://schemas.microsoft.com/office/drawing/2014/main" id="{00000000-0008-0000-3F00-000004000000}"/>
            </a:ext>
          </a:extLst>
        </xdr:cNvPr>
        <xdr:cNvSpPr/>
      </xdr:nvSpPr>
      <xdr:spPr>
        <a:xfrm>
          <a:off x="933450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13</xdr:col>
      <xdr:colOff>19050</xdr:colOff>
      <xdr:row>1</xdr:row>
      <xdr:rowOff>0</xdr:rowOff>
    </xdr:from>
    <xdr:to>
      <xdr:col>14</xdr:col>
      <xdr:colOff>533400</xdr:colOff>
      <xdr:row>3</xdr:row>
      <xdr:rowOff>0</xdr:rowOff>
    </xdr:to>
    <xdr:sp macro="[0]!UserForm5_3_legal_select" textlink="">
      <xdr:nvSpPr>
        <xdr:cNvPr id="5" name="Rounded Rectangle 4">
          <a:extLst>
            <a:ext uri="{FF2B5EF4-FFF2-40B4-BE49-F238E27FC236}">
              <a16:creationId xmlns:a16="http://schemas.microsoft.com/office/drawing/2014/main" id="{00000000-0008-0000-3F00-000005000000}"/>
            </a:ext>
          </a:extLst>
        </xdr:cNvPr>
        <xdr:cNvSpPr/>
      </xdr:nvSpPr>
      <xdr:spPr>
        <a:xfrm>
          <a:off x="10696575"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495300</xdr:colOff>
      <xdr:row>1</xdr:row>
      <xdr:rowOff>9525</xdr:rowOff>
    </xdr:from>
    <xdr:to>
      <xdr:col>12</xdr:col>
      <xdr:colOff>400050</xdr:colOff>
      <xdr:row>3</xdr:row>
      <xdr:rowOff>9525</xdr:rowOff>
    </xdr:to>
    <xdr:sp macro="[0]!UserForm5_3_select" textlink="">
      <xdr:nvSpPr>
        <xdr:cNvPr id="6" name="Rounded Rectangle 5">
          <a:extLst>
            <a:ext uri="{FF2B5EF4-FFF2-40B4-BE49-F238E27FC236}">
              <a16:creationId xmlns:a16="http://schemas.microsoft.com/office/drawing/2014/main" id="{00000000-0008-0000-3F00-000006000000}"/>
            </a:ext>
          </a:extLst>
        </xdr:cNvPr>
        <xdr:cNvSpPr/>
      </xdr:nvSpPr>
      <xdr:spPr>
        <a:xfrm>
          <a:off x="9344025"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editAs="absolute">
    <xdr:from>
      <xdr:col>8</xdr:col>
      <xdr:colOff>0</xdr:colOff>
      <xdr:row>4</xdr:row>
      <xdr:rowOff>0</xdr:rowOff>
    </xdr:from>
    <xdr:to>
      <xdr:col>9</xdr:col>
      <xdr:colOff>533400</xdr:colOff>
      <xdr:row>5</xdr:row>
      <xdr:rowOff>200025</xdr:rowOff>
    </xdr:to>
    <xdr:sp macro="[0]!UserForm_Navigator_select" textlink="">
      <xdr:nvSpPr>
        <xdr:cNvPr id="4" name="Rounded Rectangle 3">
          <a:extLst>
            <a:ext uri="{FF2B5EF4-FFF2-40B4-BE49-F238E27FC236}">
              <a16:creationId xmlns:a16="http://schemas.microsoft.com/office/drawing/2014/main" id="{00000000-0008-0000-4100-000004000000}"/>
            </a:ext>
          </a:extLst>
        </xdr:cNvPr>
        <xdr:cNvSpPr/>
      </xdr:nvSpPr>
      <xdr:spPr>
        <a:xfrm>
          <a:off x="8915400" y="8477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twoCellAnchor editAs="absolute">
    <xdr:from>
      <xdr:col>10</xdr:col>
      <xdr:colOff>133350</xdr:colOff>
      <xdr:row>1</xdr:row>
      <xdr:rowOff>0</xdr:rowOff>
    </xdr:from>
    <xdr:to>
      <xdr:col>12</xdr:col>
      <xdr:colOff>38100</xdr:colOff>
      <xdr:row>2</xdr:row>
      <xdr:rowOff>123825</xdr:rowOff>
    </xdr:to>
    <xdr:sp macro="[0]!UserForm6_1_legal_select" textlink="">
      <xdr:nvSpPr>
        <xdr:cNvPr id="5" name="Rounded Rectangle 4">
          <a:extLst>
            <a:ext uri="{FF2B5EF4-FFF2-40B4-BE49-F238E27FC236}">
              <a16:creationId xmlns:a16="http://schemas.microsoft.com/office/drawing/2014/main" id="{00000000-0008-0000-4100-000005000000}"/>
            </a:ext>
          </a:extLst>
        </xdr:cNvPr>
        <xdr:cNvSpPr/>
      </xdr:nvSpPr>
      <xdr:spPr>
        <a:xfrm>
          <a:off x="10267950" y="190500"/>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8</xdr:col>
      <xdr:colOff>0</xdr:colOff>
      <xdr:row>1</xdr:row>
      <xdr:rowOff>9525</xdr:rowOff>
    </xdr:from>
    <xdr:to>
      <xdr:col>9</xdr:col>
      <xdr:colOff>514350</xdr:colOff>
      <xdr:row>2</xdr:row>
      <xdr:rowOff>133350</xdr:rowOff>
    </xdr:to>
    <xdr:sp macro="[0]!UserForm6_select" textlink="">
      <xdr:nvSpPr>
        <xdr:cNvPr id="6" name="Rounded Rectangle 5">
          <a:extLst>
            <a:ext uri="{FF2B5EF4-FFF2-40B4-BE49-F238E27FC236}">
              <a16:creationId xmlns:a16="http://schemas.microsoft.com/office/drawing/2014/main" id="{00000000-0008-0000-4100-000006000000}"/>
            </a:ext>
          </a:extLst>
        </xdr:cNvPr>
        <xdr:cNvSpPr/>
      </xdr:nvSpPr>
      <xdr:spPr>
        <a:xfrm>
          <a:off x="8915400" y="200025"/>
          <a:ext cx="112395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1333500</xdr:colOff>
      <xdr:row>0</xdr:row>
      <xdr:rowOff>171449</xdr:rowOff>
    </xdr:from>
    <xdr:to>
      <xdr:col>10</xdr:col>
      <xdr:colOff>2457450</xdr:colOff>
      <xdr:row>2</xdr:row>
      <xdr:rowOff>125699</xdr:rowOff>
    </xdr:to>
    <xdr:sp macro="[0]!UserForm1_5_legal_select" textlink="">
      <xdr:nvSpPr>
        <xdr:cNvPr id="2" name="Rounded Rectangle 1">
          <a:extLst>
            <a:ext uri="{FF2B5EF4-FFF2-40B4-BE49-F238E27FC236}">
              <a16:creationId xmlns:a16="http://schemas.microsoft.com/office/drawing/2014/main" id="{00000000-0008-0000-0800-000002000000}"/>
            </a:ext>
          </a:extLst>
        </xdr:cNvPr>
        <xdr:cNvSpPr/>
      </xdr:nvSpPr>
      <xdr:spPr>
        <a:xfrm>
          <a:off x="10334625" y="171449"/>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10</xdr:col>
      <xdr:colOff>0</xdr:colOff>
      <xdr:row>0</xdr:row>
      <xdr:rowOff>161924</xdr:rowOff>
    </xdr:from>
    <xdr:to>
      <xdr:col>10</xdr:col>
      <xdr:colOff>1123950</xdr:colOff>
      <xdr:row>2</xdr:row>
      <xdr:rowOff>116174</xdr:rowOff>
    </xdr:to>
    <xdr:sp macro="[0]!UserForm1_4_select" textlink="">
      <xdr:nvSpPr>
        <xdr:cNvPr id="3" name="Rounded Rectangle 2">
          <a:extLst>
            <a:ext uri="{FF2B5EF4-FFF2-40B4-BE49-F238E27FC236}">
              <a16:creationId xmlns:a16="http://schemas.microsoft.com/office/drawing/2014/main" id="{00000000-0008-0000-0800-000003000000}"/>
            </a:ext>
          </a:extLst>
        </xdr:cNvPr>
        <xdr:cNvSpPr/>
      </xdr:nvSpPr>
      <xdr:spPr>
        <a:xfrm>
          <a:off x="9191625" y="161924"/>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10</xdr:col>
      <xdr:colOff>0</xdr:colOff>
      <xdr:row>3</xdr:row>
      <xdr:rowOff>114300</xdr:rowOff>
    </xdr:from>
    <xdr:to>
      <xdr:col>10</xdr:col>
      <xdr:colOff>1143000</xdr:colOff>
      <xdr:row>5</xdr:row>
      <xdr:rowOff>85725</xdr:rowOff>
    </xdr:to>
    <xdr:sp macro="[0]!UserForm_Navigator_select" textlink="">
      <xdr:nvSpPr>
        <xdr:cNvPr id="4" name="Rounded Rectangle 3">
          <a:extLst>
            <a:ext uri="{FF2B5EF4-FFF2-40B4-BE49-F238E27FC236}">
              <a16:creationId xmlns:a16="http://schemas.microsoft.com/office/drawing/2014/main" id="{00000000-0008-0000-0800-000004000000}"/>
            </a:ext>
          </a:extLst>
        </xdr:cNvPr>
        <xdr:cNvSpPr/>
      </xdr:nvSpPr>
      <xdr:spPr>
        <a:xfrm>
          <a:off x="9191625" y="74295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133350</xdr:colOff>
      <xdr:row>1</xdr:row>
      <xdr:rowOff>76200</xdr:rowOff>
    </xdr:from>
    <xdr:to>
      <xdr:col>12</xdr:col>
      <xdr:colOff>38100</xdr:colOff>
      <xdr:row>3</xdr:row>
      <xdr:rowOff>1875</xdr:rowOff>
    </xdr:to>
    <xdr:sp macro="[0]!UserForm1_5_legal_select" textlink="">
      <xdr:nvSpPr>
        <xdr:cNvPr id="2" name="Rounded Rectangle 1">
          <a:extLst>
            <a:ext uri="{FF2B5EF4-FFF2-40B4-BE49-F238E27FC236}">
              <a16:creationId xmlns:a16="http://schemas.microsoft.com/office/drawing/2014/main" id="{00000000-0008-0000-0900-000002000000}"/>
            </a:ext>
          </a:extLst>
        </xdr:cNvPr>
        <xdr:cNvSpPr/>
      </xdr:nvSpPr>
      <xdr:spPr>
        <a:xfrm>
          <a:off x="10591800" y="266700"/>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8</xdr:col>
      <xdr:colOff>0</xdr:colOff>
      <xdr:row>1</xdr:row>
      <xdr:rowOff>66675</xdr:rowOff>
    </xdr:from>
    <xdr:to>
      <xdr:col>9</xdr:col>
      <xdr:colOff>514350</xdr:colOff>
      <xdr:row>2</xdr:row>
      <xdr:rowOff>220950</xdr:rowOff>
    </xdr:to>
    <xdr:sp macro="[0]!UserForm1_5_select" textlink="">
      <xdr:nvSpPr>
        <xdr:cNvPr id="3" name="Rounded Rectangle 2">
          <a:extLst>
            <a:ext uri="{FF2B5EF4-FFF2-40B4-BE49-F238E27FC236}">
              <a16:creationId xmlns:a16="http://schemas.microsoft.com/office/drawing/2014/main" id="{00000000-0008-0000-0900-000003000000}"/>
            </a:ext>
          </a:extLst>
        </xdr:cNvPr>
        <xdr:cNvSpPr/>
      </xdr:nvSpPr>
      <xdr:spPr>
        <a:xfrm>
          <a:off x="9239250" y="257175"/>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8</xdr:col>
      <xdr:colOff>0</xdr:colOff>
      <xdr:row>3</xdr:row>
      <xdr:rowOff>133350</xdr:rowOff>
    </xdr:from>
    <xdr:to>
      <xdr:col>9</xdr:col>
      <xdr:colOff>533400</xdr:colOff>
      <xdr:row>20</xdr:row>
      <xdr:rowOff>66675</xdr:rowOff>
    </xdr:to>
    <xdr:sp macro="[0]!UserForm_Navigator_select" textlink="">
      <xdr:nvSpPr>
        <xdr:cNvPr id="4" name="Rounded Rectangle 3">
          <a:extLst>
            <a:ext uri="{FF2B5EF4-FFF2-40B4-BE49-F238E27FC236}">
              <a16:creationId xmlns:a16="http://schemas.microsoft.com/office/drawing/2014/main" id="{00000000-0008-0000-0900-000004000000}"/>
            </a:ext>
          </a:extLst>
        </xdr:cNvPr>
        <xdr:cNvSpPr/>
      </xdr:nvSpPr>
      <xdr:spPr>
        <a:xfrm>
          <a:off x="9239250" y="79057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4</xdr:col>
      <xdr:colOff>495300</xdr:colOff>
      <xdr:row>4</xdr:row>
      <xdr:rowOff>0</xdr:rowOff>
    </xdr:from>
    <xdr:to>
      <xdr:col>6</xdr:col>
      <xdr:colOff>314325</xdr:colOff>
      <xdr:row>6</xdr:row>
      <xdr:rowOff>9525</xdr:rowOff>
    </xdr:to>
    <xdr:sp macro="[0]!UserForm_Navigator_select" textlink="">
      <xdr:nvSpPr>
        <xdr:cNvPr id="4" name="Rounded Rectangle 3">
          <a:extLst>
            <a:ext uri="{FF2B5EF4-FFF2-40B4-BE49-F238E27FC236}">
              <a16:creationId xmlns:a16="http://schemas.microsoft.com/office/drawing/2014/main" id="{00000000-0008-0000-0A00-000004000000}"/>
            </a:ext>
          </a:extLst>
        </xdr:cNvPr>
        <xdr:cNvSpPr/>
      </xdr:nvSpPr>
      <xdr:spPr>
        <a:xfrm>
          <a:off x="8982075" y="809625"/>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104775</xdr:colOff>
      <xdr:row>1</xdr:row>
      <xdr:rowOff>85725</xdr:rowOff>
    </xdr:from>
    <xdr:to>
      <xdr:col>12</xdr:col>
      <xdr:colOff>9525</xdr:colOff>
      <xdr:row>3</xdr:row>
      <xdr:rowOff>49500</xdr:rowOff>
    </xdr:to>
    <xdr:sp macro="[0]!UserForm1_7_legal_select" textlink="">
      <xdr:nvSpPr>
        <xdr:cNvPr id="2" name="Rounded Rectangle 1">
          <a:extLst>
            <a:ext uri="{FF2B5EF4-FFF2-40B4-BE49-F238E27FC236}">
              <a16:creationId xmlns:a16="http://schemas.microsoft.com/office/drawing/2014/main" id="{00000000-0008-0000-0B00-000002000000}"/>
            </a:ext>
          </a:extLst>
        </xdr:cNvPr>
        <xdr:cNvSpPr/>
      </xdr:nvSpPr>
      <xdr:spPr>
        <a:xfrm>
          <a:off x="10801350" y="276225"/>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Legal reference</a:t>
          </a:r>
        </a:p>
      </xdr:txBody>
    </xdr:sp>
    <xdr:clientData fPrintsWithSheet="0"/>
  </xdr:twoCellAnchor>
  <xdr:twoCellAnchor editAs="absolute">
    <xdr:from>
      <xdr:col>8</xdr:col>
      <xdr:colOff>0</xdr:colOff>
      <xdr:row>1</xdr:row>
      <xdr:rowOff>76200</xdr:rowOff>
    </xdr:from>
    <xdr:to>
      <xdr:col>9</xdr:col>
      <xdr:colOff>514350</xdr:colOff>
      <xdr:row>3</xdr:row>
      <xdr:rowOff>39975</xdr:rowOff>
    </xdr:to>
    <xdr:sp macro="[0]!UserForm1_7_select" textlink="">
      <xdr:nvSpPr>
        <xdr:cNvPr id="3" name="Rounded Rectangle 2">
          <a:extLst>
            <a:ext uri="{FF2B5EF4-FFF2-40B4-BE49-F238E27FC236}">
              <a16:creationId xmlns:a16="http://schemas.microsoft.com/office/drawing/2014/main" id="{00000000-0008-0000-0B00-000003000000}"/>
            </a:ext>
          </a:extLst>
        </xdr:cNvPr>
        <xdr:cNvSpPr/>
      </xdr:nvSpPr>
      <xdr:spPr>
        <a:xfrm>
          <a:off x="9477375" y="266700"/>
          <a:ext cx="1123950" cy="392400"/>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Help</a:t>
          </a:r>
        </a:p>
      </xdr:txBody>
    </xdr:sp>
    <xdr:clientData fPrintsWithSheet="0"/>
  </xdr:twoCellAnchor>
  <xdr:twoCellAnchor editAs="absolute">
    <xdr:from>
      <xdr:col>8</xdr:col>
      <xdr:colOff>0</xdr:colOff>
      <xdr:row>3</xdr:row>
      <xdr:rowOff>180975</xdr:rowOff>
    </xdr:from>
    <xdr:to>
      <xdr:col>9</xdr:col>
      <xdr:colOff>533400</xdr:colOff>
      <xdr:row>5</xdr:row>
      <xdr:rowOff>0</xdr:rowOff>
    </xdr:to>
    <xdr:sp macro="[0]!UserForm_Navigator_select" textlink="">
      <xdr:nvSpPr>
        <xdr:cNvPr id="4" name="Rounded Rectangle 3">
          <a:extLst>
            <a:ext uri="{FF2B5EF4-FFF2-40B4-BE49-F238E27FC236}">
              <a16:creationId xmlns:a16="http://schemas.microsoft.com/office/drawing/2014/main" id="{00000000-0008-0000-0B00-000004000000}"/>
            </a:ext>
          </a:extLst>
        </xdr:cNvPr>
        <xdr:cNvSpPr/>
      </xdr:nvSpPr>
      <xdr:spPr>
        <a:xfrm>
          <a:off x="9477375" y="800100"/>
          <a:ext cx="1143000" cy="390525"/>
        </a:xfrm>
        <a:prstGeom prst="roundRect">
          <a:avLst/>
        </a:prstGeom>
        <a:solidFill>
          <a:schemeClr val="accent1"/>
        </a:solidFill>
        <a:ln>
          <a:noFill/>
        </a:ln>
        <a:effectLst/>
        <a:scene3d>
          <a:camera prst="orthographicFront"/>
          <a:lightRig rig="threePt" dir="t"/>
        </a:scene3d>
        <a:sp3d>
          <a:bevelT w="38100" h="38100"/>
        </a:sp3d>
      </xdr:spPr>
      <xdr:style>
        <a:lnRef idx="2">
          <a:schemeClr val="dk1">
            <a:shade val="50000"/>
          </a:schemeClr>
        </a:lnRef>
        <a:fillRef idx="1003">
          <a:schemeClr val="lt1"/>
        </a:fillRef>
        <a:effectRef idx="0">
          <a:schemeClr val="dk1"/>
        </a:effectRef>
        <a:fontRef idx="minor">
          <a:schemeClr val="lt1"/>
        </a:fontRef>
      </xdr:style>
      <xdr:txBody>
        <a:bodyPr vertOverflow="clip" horzOverflow="clip" rtlCol="0" anchor="ctr" anchorCtr="1"/>
        <a:lstStyle/>
        <a:p>
          <a:pPr algn="ctr"/>
          <a:r>
            <a:rPr lang="en-GB" sz="1100" b="1">
              <a:solidFill>
                <a:schemeClr val="bg1"/>
              </a:solidFill>
            </a:rPr>
            <a:t>Open Navigator</a:t>
          </a:r>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A%20T%20C\P%20E%20R%20F%20O%20R%20M%20A%20N%20C%20E\P%20L%20A%20N%20N%20I%20N%20G\RP3%20REVISED%20PP%202021+\As%20uploaded%20-%2017%20Nov.%202021\CY%20RP3%20PP%20updated%20for%2017.11.21%20submission%20Ver.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CY%20RP3%20PP%20updated%20for%2013.07.2022%20submission%20Ver.0.6%20-%20EXTRACT.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ANSP#2"/>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Prefilled information"/>
      <sheetName val="STATFOR_Data"/>
      <sheetName val="temp"/>
      <sheetName val="Dynamic lists"/>
      <sheetName val="Graphics data"/>
      <sheetName val="CY RP3 PP updated for 17.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and Purpose"/>
      <sheetName val="Cover Page"/>
      <sheetName val="Table of Content"/>
      <sheetName val="Signatories"/>
      <sheetName val="1. INTRODUCTION &gt;&gt;&gt;"/>
      <sheetName val="1.1 The situation"/>
      <sheetName val="1.2 Traffic forecasts"/>
      <sheetName val="1.3 Stakeholder consultation"/>
      <sheetName val="1.4 List of airports"/>
      <sheetName val="1.5 Market conditions"/>
      <sheetName val="1.6 FAB process"/>
      <sheetName val="1.7 Simplified scheme"/>
      <sheetName val="2. INVESTMENTS &gt;&gt;&gt;"/>
      <sheetName val="2.1 Investments_ANSP#1"/>
      <sheetName val="2.2 Investments_ANSP#2"/>
      <sheetName val="2.3 Investments_ANSP#3"/>
      <sheetName val="2.4 Investments_ANSP#4"/>
      <sheetName val="2.5 Investments_ANSP#5"/>
      <sheetName val="2.6 Investments_ANSP#6"/>
      <sheetName val="2.7 Investments_ANSP#7"/>
      <sheetName val="2.8 Investments_ANSP#8"/>
      <sheetName val="2.9 Investments_ANSP#9"/>
      <sheetName val="2.10 Investments_ANSP#10"/>
      <sheetName val="3. PERFORMANCE TARGETS &gt;&gt;&gt;"/>
      <sheetName val="3.1 SAFETY &gt;&gt;&gt;"/>
      <sheetName val="3.1 Safety targets"/>
      <sheetName val="3.2 ENVIRONMENT &gt;&gt;&gt;"/>
      <sheetName val="3.2 Environment targets"/>
      <sheetName val="3.3 CAPACITY &gt;&gt;&gt;"/>
      <sheetName val="3.3.1 En route"/>
      <sheetName val="3.3.2 Terminal"/>
      <sheetName val="3.4 COST-EFFICIENCY &gt;&gt;&gt;"/>
      <sheetName val="3.4.1 ERT-CZ 1"/>
      <sheetName val="3.4.1 ERT-CZ 2"/>
      <sheetName val="3.4.1 ERT-CZ 3"/>
      <sheetName val="3.4.1 ERT-CZ 4"/>
      <sheetName val="3.4.1 ERT-CZ 5"/>
      <sheetName val="3.4.2 TERM-CZ 1"/>
      <sheetName val="3.4.2 TERM-CZ 2"/>
      <sheetName val="3.4.2 TERM-CZ 3"/>
      <sheetName val="3.4.2 TERM-CZ 4"/>
      <sheetName val="3.4.2 TERM-CZ 5"/>
      <sheetName val="3.4.2 TERM-CZ 6"/>
      <sheetName val="3.4.2 TERM-CZ 7"/>
      <sheetName val="3.4.2 TERM-CZ 8"/>
      <sheetName val="3.4.2 TERM-CZ 9"/>
      <sheetName val="3.4.2 TERM-CZ 10"/>
      <sheetName val="3.4.3 Pensions"/>
      <sheetName val="3.4.4 Interest rates"/>
      <sheetName val="3.4.5 Restructuring costs"/>
      <sheetName val="3.4.6 Add. capacity measures"/>
      <sheetName val="staff + operating"/>
      <sheetName val="3.5 ADDITIONAL KPIs &gt;&gt;&gt;"/>
      <sheetName val="3.5 Additional KPIs"/>
      <sheetName val="3.6 INTERDEPENDENCIES &gt;&gt;&gt;"/>
      <sheetName val="3.6 Interdependencies"/>
      <sheetName val="4. CROSS-BORDER and SESAR &gt;&gt;&gt;"/>
      <sheetName val="4.1 Cross-border"/>
      <sheetName val="4.2 SESAR-PCP"/>
      <sheetName val="4.3 Change management"/>
      <sheetName val="5. TRAFFIC RS &amp; INCENTIVES &gt;&gt;&gt;"/>
      <sheetName val="5.1 Traffic RS"/>
      <sheetName val="5.2.1 Capacity Incentives_ER"/>
      <sheetName val="5.2.2 Capacity Incentives_TMZ"/>
      <sheetName val="5.3 Optional Incentives"/>
      <sheetName val="6. IMPLEMENTATION &gt;&gt;&gt;"/>
      <sheetName val="6. Implementation"/>
      <sheetName val="7. ANNEXES"/>
      <sheetName val="Prefilled information"/>
      <sheetName val="STATFOR_Data"/>
      <sheetName val="temp"/>
      <sheetName val="Dynamic lists"/>
      <sheetName val="Graphics data"/>
    </sheetNames>
    <sheetDataSet>
      <sheetData sheetId="0" refreshError="1"/>
      <sheetData sheetId="1" refreshError="1"/>
      <sheetData sheetId="2" refreshError="1"/>
      <sheetData sheetId="3" refreshError="1"/>
      <sheetData sheetId="4" refreshError="1"/>
      <sheetData sheetId="5">
        <row r="13">
          <cell r="B13" t="str">
            <v>DCAC Cyprus</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6">
          <cell r="D6">
            <v>640000</v>
          </cell>
        </row>
      </sheetData>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able_State_ANSP" displayName="Table_State_ANSP" ref="B4:K34" totalsRowShown="0">
  <autoFilter ref="B4:K34" xr:uid="{00000000-0009-0000-0100-000004000000}"/>
  <sortState xmlns:xlrd2="http://schemas.microsoft.com/office/spreadsheetml/2017/richdata2" ref="B6:G34">
    <sortCondition ref="E5:E34"/>
  </sortState>
  <tableColumns count="10">
    <tableColumn id="1" xr3:uid="{00000000-0010-0000-0000-000001000000}" name="ISO_CODE"/>
    <tableColumn id="5" xr3:uid="{00000000-0010-0000-0000-000005000000}" name="ICAO_CODE_1" dataDxfId="1484"/>
    <tableColumn id="4" xr3:uid="{00000000-0010-0000-0000-000004000000}" name="ICAO_CODE_2"/>
    <tableColumn id="2" xr3:uid="{00000000-0010-0000-0000-000002000000}" name="Country_Name"/>
    <tableColumn id="9" xr3:uid="{00000000-0010-0000-0000-000009000000}" name="FAB_Name"/>
    <tableColumn id="3" xr3:uid="{00000000-0010-0000-0000-000003000000}" name="Main_ANSP_Name"/>
    <tableColumn id="6" xr3:uid="{00000000-0010-0000-0000-000006000000}" name="Main_ANSP_Code"/>
    <tableColumn id="10" xr3:uid="{00000000-0010-0000-0000-00000A000000}" name="Safety_ANSP"/>
    <tableColumn id="8" xr3:uid="{00000000-0010-0000-0000-000008000000}" name="ER_CZ_1"/>
    <tableColumn id="7" xr3:uid="{00000000-0010-0000-0000-000007000000}" name="ER_CZ_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9000000}" name="Table_CRCO_Factor" displayName="Table_CRCO_Factor" ref="BZ4:CA44" totalsRowShown="0" headerRowDxfId="1478" dataDxfId="1477">
  <autoFilter ref="BZ4:CA44" xr:uid="{00000000-0009-0000-0100-000008000000}"/>
  <sortState xmlns:xlrd2="http://schemas.microsoft.com/office/spreadsheetml/2017/richdata2" ref="BZ5:CC44">
    <sortCondition ref="CA2:CA42"/>
  </sortState>
  <tableColumns count="2">
    <tableColumn id="1" xr3:uid="{00000000-0010-0000-0900-000001000000}" name="ECZ" dataDxfId="1476"/>
    <tableColumn id="3" xr3:uid="{00000000-0010-0000-0900-000003000000}" name="May 2019 (based on 12 months)" dataDxfId="1475"/>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e_Safety_Targets" displayName="Table_Safety_Targets" ref="CC4:CG174" totalsRowShown="0">
  <autoFilter ref="CC4:CG174" xr:uid="{00000000-0009-0000-0100-000009000000}"/>
  <tableColumns count="5">
    <tableColumn id="1" xr3:uid="{00000000-0010-0000-0A00-000001000000}" name="STATE"/>
    <tableColumn id="2" xr3:uid="{00000000-0010-0000-0A00-000002000000}" name="ANSP"/>
    <tableColumn id="3" xr3:uid="{00000000-0010-0000-0A00-000003000000}" name="Safety Area"/>
    <tableColumn id="4" xr3:uid="{00000000-0010-0000-0A00-000004000000}" name="2020T"/>
    <tableColumn id="5" xr3:uid="{00000000-0010-0000-0A00-000005000000}" name="Helper" dataDxfId="1474">
      <calculatedColumnFormula>Table_Safety_Targets[[#This Row],[ANSP]]&amp;Table_Safety_Targets[[#This Row],[Safety Area]]</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B000000}" name="Table_STATF_MAY21_ERT_MVT" displayName="Table_STATF_MAY21_ERT_MVT" ref="D2:T41" totalsRowShown="0" dataDxfId="1473">
  <autoFilter ref="D2:T41" xr:uid="{00000000-0009-0000-0100-000010000000}"/>
  <sortState xmlns:xlrd2="http://schemas.microsoft.com/office/spreadsheetml/2017/richdata2" ref="D3:X42">
    <sortCondition ref="D2:D42"/>
  </sortState>
  <tableColumns count="17">
    <tableColumn id="1" xr3:uid="{00000000-0010-0000-0B00-000001000000}" name="ER_CZ"/>
    <tableColumn id="17" xr3:uid="{00000000-0010-0000-0B00-000011000000}" name="2017"/>
    <tableColumn id="21" xr3:uid="{00000000-0010-0000-0B00-000015000000}" name="2018"/>
    <tableColumn id="20" xr3:uid="{00000000-0010-0000-0B00-000014000000}" name="2019"/>
    <tableColumn id="2" xr3:uid="{00000000-0010-0000-0B00-000002000000}" name="2020" dataDxfId="1472"/>
    <tableColumn id="5" xr3:uid="{00000000-0010-0000-0B00-000005000000}" name="2021B" dataDxfId="1471"/>
    <tableColumn id="6" xr3:uid="{00000000-0010-0000-0B00-000006000000}" name="2021H" dataDxfId="1470"/>
    <tableColumn id="7" xr3:uid="{00000000-0010-0000-0B00-000007000000}" name="2021L" dataDxfId="1469"/>
    <tableColumn id="8" xr3:uid="{00000000-0010-0000-0B00-000008000000}" name="2022B" dataDxfId="1468"/>
    <tableColumn id="9" xr3:uid="{00000000-0010-0000-0B00-000009000000}" name="2022H" dataDxfId="1467"/>
    <tableColumn id="10" xr3:uid="{00000000-0010-0000-0B00-00000A000000}" name="2022L" dataDxfId="1466"/>
    <tableColumn id="11" xr3:uid="{00000000-0010-0000-0B00-00000B000000}" name="2023B" dataDxfId="1465"/>
    <tableColumn id="12" xr3:uid="{00000000-0010-0000-0B00-00000C000000}" name="2023H" dataDxfId="1464"/>
    <tableColumn id="13" xr3:uid="{00000000-0010-0000-0B00-00000D000000}" name="2023L" dataDxfId="1463"/>
    <tableColumn id="14" xr3:uid="{00000000-0010-0000-0B00-00000E000000}" name="2024B" dataDxfId="1462"/>
    <tableColumn id="15" xr3:uid="{00000000-0010-0000-0B00-00000F000000}" name="2024H" dataDxfId="1461"/>
    <tableColumn id="16" xr3:uid="{00000000-0010-0000-0B00-000010000000}" name="2024L" dataDxfId="1460"/>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C000000}" name="Table_STATF_MAY21_ERT_SU" displayName="Table_STATF_MAY21_ERT_SU" ref="W2:AM41" totalsRowShown="0">
  <autoFilter ref="W2:AM41" xr:uid="{00000000-0009-0000-0100-000011000000}"/>
  <sortState xmlns:xlrd2="http://schemas.microsoft.com/office/spreadsheetml/2017/richdata2" ref="W3:AQ41">
    <sortCondition ref="W2:W41"/>
  </sortState>
  <tableColumns count="17">
    <tableColumn id="1" xr3:uid="{00000000-0010-0000-0C00-000001000000}" name="ER_CZ"/>
    <tableColumn id="21" xr3:uid="{00000000-0010-0000-0C00-000015000000}" name="2017" dataDxfId="1459"/>
    <tableColumn id="20" xr3:uid="{00000000-0010-0000-0C00-000014000000}" name="2018" dataDxfId="1458"/>
    <tableColumn id="2" xr3:uid="{00000000-0010-0000-0C00-000002000000}" name="2019" dataDxfId="1457"/>
    <tableColumn id="5" xr3:uid="{00000000-0010-0000-0C00-000005000000}" name="2020"/>
    <tableColumn id="8" xr3:uid="{00000000-0010-0000-0C00-000008000000}" name="2021B"/>
    <tableColumn id="9" xr3:uid="{00000000-0010-0000-0C00-000009000000}" name="2021H"/>
    <tableColumn id="10" xr3:uid="{00000000-0010-0000-0C00-00000A000000}" name="2021L"/>
    <tableColumn id="11" xr3:uid="{00000000-0010-0000-0C00-00000B000000}" name="2022B"/>
    <tableColumn id="12" xr3:uid="{00000000-0010-0000-0C00-00000C000000}" name="2022H"/>
    <tableColumn id="13" xr3:uid="{00000000-0010-0000-0C00-00000D000000}" name="2022L"/>
    <tableColumn id="14" xr3:uid="{00000000-0010-0000-0C00-00000E000000}" name="2023B"/>
    <tableColumn id="15" xr3:uid="{00000000-0010-0000-0C00-00000F000000}" name="2023H"/>
    <tableColumn id="16" xr3:uid="{00000000-0010-0000-0C00-000010000000}" name="2023L"/>
    <tableColumn id="17" xr3:uid="{00000000-0010-0000-0C00-000011000000}" name="2024B"/>
    <tableColumn id="18" xr3:uid="{00000000-0010-0000-0C00-000012000000}" name="2024H"/>
    <tableColumn id="19" xr3:uid="{00000000-0010-0000-0C00-000013000000}" name="2024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D000000}" name="Table_STATF_MAY21_TRM_SU" displayName="Table_STATF_MAY21_TRM_SU" ref="BJ2:CA42" totalsRowShown="0">
  <autoFilter ref="BJ2:CA42" xr:uid="{00000000-0009-0000-0100-000012000000}"/>
  <sortState xmlns:xlrd2="http://schemas.microsoft.com/office/spreadsheetml/2017/richdata2" ref="BJ3:CE40">
    <sortCondition ref="BJ2:BJ40"/>
  </sortState>
  <tableColumns count="18">
    <tableColumn id="1" xr3:uid="{00000000-0010-0000-0D00-000001000000}" name="TCZ_Name" dataDxfId="1456"/>
    <tableColumn id="2" xr3:uid="{00000000-0010-0000-0D00-000002000000}" name="TCZ_Code"/>
    <tableColumn id="3" xr3:uid="{00000000-0010-0000-0D00-000003000000}" name="2017"/>
    <tableColumn id="4" xr3:uid="{00000000-0010-0000-0D00-000004000000}" name="2018"/>
    <tableColumn id="5" xr3:uid="{00000000-0010-0000-0D00-000005000000}" name="2019"/>
    <tableColumn id="8" xr3:uid="{00000000-0010-0000-0D00-000008000000}" name="2020"/>
    <tableColumn id="11" xr3:uid="{00000000-0010-0000-0D00-00000B000000}" name="2021B"/>
    <tableColumn id="12" xr3:uid="{00000000-0010-0000-0D00-00000C000000}" name="2021H"/>
    <tableColumn id="13" xr3:uid="{00000000-0010-0000-0D00-00000D000000}" name="2021L"/>
    <tableColumn id="14" xr3:uid="{00000000-0010-0000-0D00-00000E000000}" name="2022B"/>
    <tableColumn id="15" xr3:uid="{00000000-0010-0000-0D00-00000F000000}" name="2022H"/>
    <tableColumn id="16" xr3:uid="{00000000-0010-0000-0D00-000010000000}" name="2022L"/>
    <tableColumn id="17" xr3:uid="{00000000-0010-0000-0D00-000011000000}" name="2023B"/>
    <tableColumn id="18" xr3:uid="{00000000-0010-0000-0D00-000012000000}" name="2023H"/>
    <tableColumn id="19" xr3:uid="{00000000-0010-0000-0D00-000013000000}" name="2023L"/>
    <tableColumn id="20" xr3:uid="{00000000-0010-0000-0D00-000014000000}" name="2024B"/>
    <tableColumn id="21" xr3:uid="{00000000-0010-0000-0D00-000015000000}" name="2024H"/>
    <tableColumn id="22" xr3:uid="{00000000-0010-0000-0D00-000016000000}" name="2024L"/>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E000000}" name="Table_STATF_MAY21_TRM_MVT" displayName="Table_STATF_MAY21_TRM_MVT" ref="AP2:BG42" totalsRowShown="0">
  <autoFilter ref="AP2:BG42" xr:uid="{00000000-0009-0000-0100-000013000000}"/>
  <sortState xmlns:xlrd2="http://schemas.microsoft.com/office/spreadsheetml/2017/richdata2" ref="AP3:BK40">
    <sortCondition ref="AP2:AP40"/>
  </sortState>
  <tableColumns count="18">
    <tableColumn id="1" xr3:uid="{00000000-0010-0000-0E00-000001000000}" name="TCZ_Name"/>
    <tableColumn id="2" xr3:uid="{00000000-0010-0000-0E00-000002000000}" name="TCZ_Code"/>
    <tableColumn id="3" xr3:uid="{00000000-0010-0000-0E00-000003000000}" name="2017" dataDxfId="1455"/>
    <tableColumn id="4" xr3:uid="{00000000-0010-0000-0E00-000004000000}" name="2018" dataDxfId="1454"/>
    <tableColumn id="5" xr3:uid="{00000000-0010-0000-0E00-000005000000}" name="2019"/>
    <tableColumn id="8" xr3:uid="{00000000-0010-0000-0E00-000008000000}" name="2020" dataDxfId="1453"/>
    <tableColumn id="11" xr3:uid="{00000000-0010-0000-0E00-00000B000000}" name="2021B" dataDxfId="1452"/>
    <tableColumn id="12" xr3:uid="{00000000-0010-0000-0E00-00000C000000}" name="2021H" dataDxfId="1451"/>
    <tableColumn id="13" xr3:uid="{00000000-0010-0000-0E00-00000D000000}" name="2021L" dataDxfId="1450"/>
    <tableColumn id="14" xr3:uid="{00000000-0010-0000-0E00-00000E000000}" name="2022B" dataDxfId="1449"/>
    <tableColumn id="15" xr3:uid="{00000000-0010-0000-0E00-00000F000000}" name="2022H" dataDxfId="1448"/>
    <tableColumn id="16" xr3:uid="{00000000-0010-0000-0E00-000010000000}" name="2022L" dataDxfId="1447"/>
    <tableColumn id="17" xr3:uid="{00000000-0010-0000-0E00-000011000000}" name="2023B" dataDxfId="1446"/>
    <tableColumn id="18" xr3:uid="{00000000-0010-0000-0E00-000012000000}" name="2023H" dataDxfId="1445"/>
    <tableColumn id="19" xr3:uid="{00000000-0010-0000-0E00-000013000000}" name="2023L" dataDxfId="1444"/>
    <tableColumn id="20" xr3:uid="{00000000-0010-0000-0E00-000014000000}" name="2024B" dataDxfId="1443"/>
    <tableColumn id="21" xr3:uid="{00000000-0010-0000-0E00-000015000000}" name="2024H" dataDxfId="1442"/>
    <tableColumn id="22" xr3:uid="{00000000-0010-0000-0E00-000016000000}" name="2024L" dataDxfId="1441"/>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_Airports" displayName="Table_Airports" ref="Y4:AF63" totalsRowShown="0">
  <autoFilter ref="Y4:AF63" xr:uid="{00000000-0009-0000-0100-000003000000}"/>
  <sortState xmlns:xlrd2="http://schemas.microsoft.com/office/spreadsheetml/2017/richdata2" ref="Y4:AF2422">
    <sortCondition descending="1" ref="AE3:AE2422"/>
  </sortState>
  <tableColumns count="8">
    <tableColumn id="1" xr3:uid="{00000000-0010-0000-0100-000001000000}" name="AIRPORT_CODE"/>
    <tableColumn id="2" xr3:uid="{00000000-0010-0000-0100-000002000000}" name="AIRPORT_NAME"/>
    <tableColumn id="3" xr3:uid="{00000000-0010-0000-0100-000003000000}" name="Country_Name">
      <calculatedColumnFormula>IFERROR(INDEX(Table_State_ANSP[Country_Name],MATCH(LEFT(Y5,2),Table_State_ANSP[ICAO_CODE_1],0)),INDEX(Table_State_ANSP[Country_Name],MATCH(LEFT(Y5,2),Table_State_ANSP[ICAO_CODE_2],0)))</calculatedColumnFormula>
    </tableColumn>
    <tableColumn id="4" xr3:uid="{00000000-0010-0000-0100-000004000000}" name="2016"/>
    <tableColumn id="5" xr3:uid="{00000000-0010-0000-0100-000005000000}" name="2017"/>
    <tableColumn id="6" xr3:uid="{00000000-0010-0000-0100-000006000000}" name="2018"/>
    <tableColumn id="7" xr3:uid="{00000000-0010-0000-0100-000007000000}" name="Average" dataDxfId="1483"/>
    <tableColumn id="8" xr3:uid="{00000000-0010-0000-0100-000008000000}" name="Category?"/>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2000000}" name="Table_KEA" displayName="Table_KEA" ref="AI4:AP34" totalsRowShown="0">
  <autoFilter ref="AI4:AP34" xr:uid="{00000000-0009-0000-0100-000006000000}"/>
  <tableColumns count="8">
    <tableColumn id="1" xr3:uid="{00000000-0010-0000-0200-000001000000}" name="COUNTRY_FAB_Name"/>
    <tableColumn id="7" xr3:uid="{00000000-0010-0000-0200-000007000000}" name="2020A"/>
    <tableColumn id="8" xr3:uid="{00000000-0010-0000-0200-000008000000}" name="2020T" dataDxfId="1482" dataCellStyle="Percent"/>
    <tableColumn id="2" xr3:uid="{00000000-0010-0000-0200-000002000000}" name="2020RV"/>
    <tableColumn id="3" xr3:uid="{00000000-0010-0000-0200-000003000000}" name="2021RV"/>
    <tableColumn id="4" xr3:uid="{00000000-0010-0000-0200-000004000000}" name="2022RV"/>
    <tableColumn id="5" xr3:uid="{00000000-0010-0000-0200-000005000000}" name="2023RV"/>
    <tableColumn id="6" xr3:uid="{00000000-0010-0000-0200-000006000000}" name="2024RV"/>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Table_ER_Delay" displayName="Table_ER_Delay" ref="AS4:AZ43" totalsRowShown="0">
  <autoFilter ref="AS4:AZ43" xr:uid="{00000000-0009-0000-0100-000007000000}"/>
  <tableColumns count="8">
    <tableColumn id="1" xr3:uid="{00000000-0010-0000-0300-000001000000}" name="COUNTRY_FAB_Name"/>
    <tableColumn id="7" xr3:uid="{00000000-0010-0000-0300-000007000000}" name="2020A"/>
    <tableColumn id="8" xr3:uid="{00000000-0010-0000-0300-000008000000}" name="2020T"/>
    <tableColumn id="2" xr3:uid="{00000000-0010-0000-0300-000002000000}" name="2020RV"/>
    <tableColumn id="3" xr3:uid="{00000000-0010-0000-0300-000003000000}" name="2021RV"/>
    <tableColumn id="4" xr3:uid="{00000000-0010-0000-0300-000004000000}" name="2022RV"/>
    <tableColumn id="5" xr3:uid="{00000000-0010-0000-0300-000005000000}" name="2023RV"/>
    <tableColumn id="6" xr3:uid="{00000000-0010-0000-0300-000006000000}" name="2024RV"/>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_TCZs_RP2" displayName="Table_TCZs_RP2" ref="BC4:BI165" totalsRowShown="0">
  <autoFilter ref="BC4:BI165" xr:uid="{00000000-0009-0000-0100-00000D000000}"/>
  <tableColumns count="7">
    <tableColumn id="1" xr3:uid="{00000000-0010-0000-0400-000001000000}" name="Country_Name"/>
    <tableColumn id="2" xr3:uid="{00000000-0010-0000-0400-000002000000}" name="TCZ_Name"/>
    <tableColumn id="3" xr3:uid="{00000000-0010-0000-0400-000003000000}" name="TCZ_Code"/>
    <tableColumn id="4" xr3:uid="{00000000-0010-0000-0400-000004000000}" name="APT_CODE"/>
    <tableColumn id="5" xr3:uid="{00000000-0010-0000-0400-000005000000}" name="APT_Name"/>
    <tableColumn id="6" xr3:uid="{00000000-0010-0000-0400-000006000000}" name="2020_ACTUAL_PERF"/>
    <tableColumn id="8" xr3:uid="{00000000-0010-0000-0400-000008000000}" name="2020_TARGET_APT"/>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_TCZs_RP2_unique" displayName="Table_TCZs_RP2_unique" ref="BL4:BO42" totalsRowShown="0">
  <autoFilter ref="BL4:BO42" xr:uid="{00000000-0009-0000-0100-00000E000000}"/>
  <tableColumns count="4">
    <tableColumn id="1" xr3:uid="{00000000-0010-0000-0500-000001000000}" name="TCZ_Name" dataDxfId="1481">
      <calculatedColumnFormula>IFERROR(INDEX(Table_TCZs_RP2[TCZ_Name], MATCH(0, INDEX(COUNTIF($BL4:BL$5, Table_TCZs_RP2[TCZ_Name]), 0, 0), 0)), "")</calculatedColumnFormula>
    </tableColumn>
    <tableColumn id="3" xr3:uid="{00000000-0010-0000-0500-000003000000}" name="TCZ_Code" dataDxfId="1480">
      <calculatedColumnFormula>INDEX(Table_TCZs_RP2[TCZ_Code],MATCH(BL5,Table_TCZs_RP2[TCZ_Name],0))</calculatedColumnFormula>
    </tableColumn>
    <tableColumn id="2" xr3:uid="{00000000-0010-0000-0500-000002000000}" name="Country_Name">
      <calculatedColumnFormula>INDEX(Table_TCZs_RP2[Country_Name],MATCH(BL5,Table_TCZs_RP2[TCZ_Name],0))</calculatedColumnFormula>
    </tableColumn>
    <tableColumn id="4" xr3:uid="{00000000-0010-0000-0500-000004000000}" name="Inflation Index 2019 Actual"/>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6000000}" name="Table_ACCs" displayName="Table_ACCs" ref="R4:V57" totalsRowShown="0">
  <autoFilter ref="R4:V57" xr:uid="{00000000-0009-0000-0100-000002000000}"/>
  <tableColumns count="5">
    <tableColumn id="1" xr3:uid="{00000000-0010-0000-0600-000001000000}" name="Index"/>
    <tableColumn id="2" xr3:uid="{00000000-0010-0000-0600-000002000000}" name="Country_Name"/>
    <tableColumn id="3" xr3:uid="{00000000-0010-0000-0600-000003000000}" name="ACC_Code"/>
    <tableColumn id="4" xr3:uid="{00000000-0010-0000-0600-000004000000}" name="ACC_Name"/>
    <tableColumn id="5" xr3:uid="{00000000-0010-0000-0600-000005000000}" name="ACC_Long_Name"/>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7000000}" name="Table_TRM_Delay_State" displayName="Table_TRM_Delay_State" ref="BR4:BT34" totalsRowShown="0">
  <autoFilter ref="BR4:BT34" xr:uid="{00000000-0009-0000-0100-000001000000}"/>
  <tableColumns count="3">
    <tableColumn id="1" xr3:uid="{00000000-0010-0000-0700-000001000000}" name="COUNTRY_FAB_Name"/>
    <tableColumn id="7" xr3:uid="{00000000-0010-0000-0700-000007000000}" name="2020A"/>
    <tableColumn id="2" xr3:uid="{00000000-0010-0000-0700-000002000000}" name="2020T"/>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8000000}" name="Table_Inflation_IDX_ECZ" displayName="Table_Inflation_IDX_ECZ" ref="BV4:BX34" totalsRowShown="0">
  <autoFilter ref="BV4:BX34" xr:uid="{00000000-0009-0000-0100-000005000000}"/>
  <tableColumns count="3">
    <tableColumn id="1" xr3:uid="{00000000-0010-0000-0800-000001000000}" name="ER_CZ"/>
    <tableColumn id="2" xr3:uid="{00000000-0010-0000-0800-000002000000}" name="Inflation Index 2014 Actual" dataDxfId="1479"/>
    <tableColumn id="3" xr3:uid="{00000000-0010-0000-0800-000003000000}" name="Inflation Index 2019 Actual"/>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accent1"/>
        </a:solidFill>
        <a:ln>
          <a:noFill/>
        </a:ln>
        <a:effectLst/>
        <a:scene3d>
          <a:camera prst="orthographicFront"/>
          <a:lightRig rig="threePt" dir="t"/>
        </a:scene3d>
        <a:sp3d>
          <a:bevelT w="38100" h="38100"/>
        </a:sp3d>
      </a:spPr>
      <a:bodyPr vertOverflow="clip" horzOverflow="clip" rtlCol="0" anchor="ctr" anchorCtr="1"/>
      <a:lstStyle>
        <a:defPPr algn="ctr">
          <a:defRPr sz="1100" b="1">
            <a:solidFill>
              <a:schemeClr val="bg1"/>
            </a:solidFill>
          </a:defRPr>
        </a:defPPr>
      </a:lstStyle>
      <a:style>
        <a:lnRef idx="2">
          <a:schemeClr val="dk1">
            <a:shade val="50000"/>
          </a:schemeClr>
        </a:lnRef>
        <a:fillRef idx="1003">
          <a:schemeClr val="lt1"/>
        </a:fillRef>
        <a:effectRef idx="0">
          <a:schemeClr val="dk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2.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2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1.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3.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5.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6.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7.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8.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39.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2.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4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drawing" Target="../drawings/drawing5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68.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6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table" Target="../tables/table12.xml"/><Relationship Id="rId1" Type="http://schemas.openxmlformats.org/officeDocument/2006/relationships/printerSettings" Target="../printerSettings/printerSettings69.bin"/><Relationship Id="rId5" Type="http://schemas.openxmlformats.org/officeDocument/2006/relationships/table" Target="../tables/table15.xml"/><Relationship Id="rId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printerSettings" Target="../printerSettings/printerSettings71.bin"/></Relationships>
</file>

<file path=xl/worksheets/_rels/sheet8.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0">
    <tabColor rgb="FF339966"/>
    <pageSetUpPr fitToPage="1"/>
  </sheetPr>
  <dimension ref="A1:H39"/>
  <sheetViews>
    <sheetView showGridLines="0" zoomScaleNormal="100" workbookViewId="0">
      <selection activeCell="B55" sqref="B55:B57"/>
    </sheetView>
  </sheetViews>
  <sheetFormatPr defaultColWidth="9.140625" defaultRowHeight="15"/>
  <cols>
    <col min="1" max="1" width="9.140625" style="3"/>
    <col min="2" max="2" width="115.7109375" style="3" customWidth="1"/>
    <col min="3" max="4" width="9.140625" style="3"/>
    <col min="5" max="5" width="18.85546875" style="3" customWidth="1"/>
    <col min="6" max="6" width="52.7109375" style="3" customWidth="1"/>
    <col min="7" max="16384" width="9.140625" style="3"/>
  </cols>
  <sheetData>
    <row r="1" spans="1:8">
      <c r="A1" s="100" t="s">
        <v>222</v>
      </c>
    </row>
    <row r="2" spans="1:8" ht="21">
      <c r="A2" s="104"/>
      <c r="B2" s="52" t="s">
        <v>238</v>
      </c>
    </row>
    <row r="3" spans="1:8" ht="15.75" thickBot="1">
      <c r="A3" s="5"/>
    </row>
    <row r="4" spans="1:8" ht="71.25">
      <c r="B4" s="61" t="s">
        <v>1170</v>
      </c>
    </row>
    <row r="5" spans="1:8">
      <c r="B5" s="62"/>
    </row>
    <row r="6" spans="1:8" ht="28.5">
      <c r="B6" s="63" t="s">
        <v>243</v>
      </c>
    </row>
    <row r="7" spans="1:8">
      <c r="B7" s="64"/>
    </row>
    <row r="8" spans="1:8">
      <c r="B8" s="63" t="s">
        <v>233</v>
      </c>
    </row>
    <row r="9" spans="1:8">
      <c r="B9" s="65"/>
    </row>
    <row r="10" spans="1:8">
      <c r="B10" s="65"/>
    </row>
    <row r="11" spans="1:8">
      <c r="B11" s="65"/>
    </row>
    <row r="12" spans="1:8">
      <c r="B12" s="65"/>
    </row>
    <row r="13" spans="1:8">
      <c r="B13" s="65"/>
    </row>
    <row r="14" spans="1:8">
      <c r="B14" s="65"/>
    </row>
    <row r="15" spans="1:8">
      <c r="B15" s="65"/>
    </row>
    <row r="16" spans="1:8">
      <c r="B16" s="65"/>
      <c r="E16"/>
      <c r="F16"/>
      <c r="G16"/>
      <c r="H16"/>
    </row>
    <row r="17" spans="2:8">
      <c r="B17" s="65"/>
      <c r="E17"/>
      <c r="F17"/>
      <c r="G17"/>
      <c r="H17"/>
    </row>
    <row r="18" spans="2:8" ht="28.5">
      <c r="B18" s="63" t="s">
        <v>1171</v>
      </c>
      <c r="E18"/>
      <c r="F18"/>
      <c r="G18"/>
      <c r="H18"/>
    </row>
    <row r="19" spans="2:8">
      <c r="B19" s="62"/>
      <c r="E19"/>
      <c r="F19"/>
      <c r="G19"/>
      <c r="H19"/>
    </row>
    <row r="20" spans="2:8" ht="28.5">
      <c r="B20" s="63" t="s">
        <v>901</v>
      </c>
      <c r="E20"/>
      <c r="F20"/>
      <c r="G20"/>
      <c r="H20"/>
    </row>
    <row r="21" spans="2:8">
      <c r="B21" s="65"/>
      <c r="E21"/>
      <c r="F21"/>
      <c r="G21"/>
      <c r="H21"/>
    </row>
    <row r="22" spans="2:8">
      <c r="B22" s="65"/>
      <c r="E22"/>
      <c r="F22"/>
      <c r="G22"/>
      <c r="H22"/>
    </row>
    <row r="23" spans="2:8">
      <c r="B23" s="65"/>
      <c r="E23"/>
      <c r="F23"/>
      <c r="G23"/>
      <c r="H23"/>
    </row>
    <row r="24" spans="2:8">
      <c r="B24" s="66"/>
      <c r="E24"/>
      <c r="F24"/>
      <c r="G24"/>
      <c r="H24"/>
    </row>
    <row r="25" spans="2:8">
      <c r="B25" s="67" t="s">
        <v>234</v>
      </c>
      <c r="E25"/>
      <c r="F25"/>
      <c r="G25"/>
      <c r="H25"/>
    </row>
    <row r="26" spans="2:8">
      <c r="B26" s="67"/>
    </row>
    <row r="27" spans="2:8" ht="29.25">
      <c r="B27" s="64" t="s">
        <v>235</v>
      </c>
    </row>
    <row r="28" spans="2:8">
      <c r="B28" s="64" t="s">
        <v>239</v>
      </c>
    </row>
    <row r="29" spans="2:8">
      <c r="B29" s="64" t="s">
        <v>236</v>
      </c>
    </row>
    <row r="30" spans="2:8">
      <c r="B30" s="64"/>
    </row>
    <row r="31" spans="2:8">
      <c r="B31" s="65"/>
    </row>
    <row r="32" spans="2:8">
      <c r="B32" s="65"/>
    </row>
    <row r="33" spans="2:2">
      <c r="B33" s="65"/>
    </row>
    <row r="34" spans="2:2" ht="29.25">
      <c r="B34" s="64" t="s">
        <v>237</v>
      </c>
    </row>
    <row r="35" spans="2:2">
      <c r="B35" s="65"/>
    </row>
    <row r="36" spans="2:2">
      <c r="B36" s="65"/>
    </row>
    <row r="37" spans="2:2">
      <c r="B37" s="65"/>
    </row>
    <row r="38" spans="2:2">
      <c r="B38" s="64" t="s">
        <v>244</v>
      </c>
    </row>
    <row r="39" spans="2:2" ht="15.75" thickBot="1">
      <c r="B39" s="68"/>
    </row>
  </sheetData>
  <sheetProtection formatCells="0" formatColumns="0" formatRows="0" insertHyperlinks="0"/>
  <pageMargins left="0.70866141732283472" right="0.70866141732283472" top="0.74803149606299213" bottom="0.74803149606299213" header="0.31496062992125984" footer="0.31496062992125984"/>
  <pageSetup paperSize="9" scale="69" fitToHeight="0" orientation="portrait" r:id="rId1"/>
  <drawing r:id="rId2"/>
  <pictur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1">
    <tabColor theme="2" tint="-0.249977111117893"/>
    <pageSetUpPr fitToPage="1"/>
  </sheetPr>
  <dimension ref="A1:F20"/>
  <sheetViews>
    <sheetView showGridLines="0" zoomScaleNormal="100" workbookViewId="0">
      <selection activeCell="C30" sqref="C30"/>
    </sheetView>
  </sheetViews>
  <sheetFormatPr defaultColWidth="9.140625" defaultRowHeight="15"/>
  <cols>
    <col min="1" max="1" width="9.140625" style="16"/>
    <col min="2" max="2" width="19.7109375" style="16" customWidth="1"/>
    <col min="3" max="3" width="13.7109375" style="16" customWidth="1"/>
    <col min="4" max="4" width="30.7109375" style="16" customWidth="1"/>
    <col min="5" max="5" width="26.7109375" style="16" customWidth="1"/>
    <col min="6" max="6" width="27.7109375" style="16" customWidth="1"/>
    <col min="7" max="7" width="1.7109375" style="16" customWidth="1"/>
    <col min="8" max="16384" width="9.140625" style="16"/>
  </cols>
  <sheetData>
    <row r="1" spans="1:6">
      <c r="A1" s="96"/>
    </row>
    <row r="2" spans="1:6" ht="18.75" customHeight="1">
      <c r="A2" s="104"/>
      <c r="B2" s="42" t="s">
        <v>1473</v>
      </c>
      <c r="C2" s="42"/>
      <c r="D2" s="42"/>
    </row>
    <row r="3" spans="1:6" ht="18" customHeight="1">
      <c r="E3" s="207"/>
    </row>
    <row r="4" spans="1:6" ht="18" customHeight="1">
      <c r="B4" s="654" t="s">
        <v>313</v>
      </c>
      <c r="C4" s="655"/>
      <c r="D4" s="655"/>
      <c r="E4" s="769">
        <v>0</v>
      </c>
      <c r="F4" s="770"/>
    </row>
    <row r="5" spans="1:6" ht="18" customHeight="1">
      <c r="B5" s="208"/>
      <c r="C5" s="208"/>
      <c r="D5" s="208"/>
      <c r="E5" s="208"/>
      <c r="F5" s="208"/>
    </row>
    <row r="6" spans="1:6" ht="30" hidden="1">
      <c r="B6" s="148" t="s">
        <v>262</v>
      </c>
      <c r="C6" s="133" t="s">
        <v>312</v>
      </c>
      <c r="D6" s="133" t="s">
        <v>314</v>
      </c>
      <c r="E6" s="133" t="s">
        <v>1185</v>
      </c>
      <c r="F6" s="137" t="s">
        <v>989</v>
      </c>
    </row>
    <row r="7" spans="1:6" hidden="1">
      <c r="A7" s="209">
        <v>1</v>
      </c>
      <c r="B7" s="204"/>
      <c r="C7" s="189" t="s">
        <v>240</v>
      </c>
      <c r="D7" s="204"/>
      <c r="E7" s="204"/>
      <c r="F7" s="210"/>
    </row>
    <row r="8" spans="1:6" hidden="1">
      <c r="A8" s="209">
        <v>2</v>
      </c>
      <c r="B8" s="204"/>
      <c r="C8" s="211" t="s">
        <v>240</v>
      </c>
      <c r="D8" s="204"/>
      <c r="E8" s="204"/>
      <c r="F8" s="210"/>
    </row>
    <row r="9" spans="1:6" hidden="1">
      <c r="A9" s="209">
        <v>3</v>
      </c>
      <c r="B9" s="204"/>
      <c r="C9" s="211" t="s">
        <v>240</v>
      </c>
      <c r="D9" s="204"/>
      <c r="E9" s="204"/>
      <c r="F9" s="210"/>
    </row>
    <row r="10" spans="1:6" hidden="1">
      <c r="A10" s="209">
        <v>4</v>
      </c>
      <c r="B10" s="204"/>
      <c r="C10" s="211" t="s">
        <v>240</v>
      </c>
      <c r="D10" s="204"/>
      <c r="E10" s="204"/>
      <c r="F10" s="210"/>
    </row>
    <row r="11" spans="1:6" hidden="1">
      <c r="A11" s="209">
        <v>5</v>
      </c>
      <c r="B11" s="204"/>
      <c r="C11" s="211" t="s">
        <v>240</v>
      </c>
      <c r="D11" s="204"/>
      <c r="E11" s="204"/>
      <c r="F11" s="210"/>
    </row>
    <row r="12" spans="1:6" hidden="1">
      <c r="A12" s="209">
        <v>6</v>
      </c>
      <c r="B12" s="204"/>
      <c r="C12" s="211" t="s">
        <v>240</v>
      </c>
      <c r="D12" s="204"/>
      <c r="E12" s="204"/>
      <c r="F12" s="210"/>
    </row>
    <row r="13" spans="1:6" hidden="1">
      <c r="A13" s="209">
        <v>7</v>
      </c>
      <c r="B13" s="204"/>
      <c r="C13" s="211" t="s">
        <v>240</v>
      </c>
      <c r="D13" s="204"/>
      <c r="E13" s="204"/>
      <c r="F13" s="210"/>
    </row>
    <row r="14" spans="1:6" hidden="1">
      <c r="A14" s="209">
        <v>8</v>
      </c>
      <c r="B14" s="204"/>
      <c r="C14" s="211" t="s">
        <v>240</v>
      </c>
      <c r="D14" s="204"/>
      <c r="E14" s="204"/>
      <c r="F14" s="210"/>
    </row>
    <row r="15" spans="1:6" hidden="1">
      <c r="A15" s="209">
        <v>9</v>
      </c>
      <c r="B15" s="204"/>
      <c r="C15" s="211" t="s">
        <v>240</v>
      </c>
      <c r="D15" s="204"/>
      <c r="E15" s="204"/>
      <c r="F15" s="210"/>
    </row>
    <row r="16" spans="1:6" hidden="1">
      <c r="A16" s="209">
        <v>10</v>
      </c>
      <c r="B16" s="204"/>
      <c r="C16" s="211" t="s">
        <v>240</v>
      </c>
      <c r="D16" s="204"/>
      <c r="E16" s="204"/>
      <c r="F16" s="210"/>
    </row>
    <row r="17" spans="2:6" hidden="1">
      <c r="B17" s="208"/>
      <c r="C17" s="208"/>
      <c r="D17" s="208"/>
      <c r="E17" s="208"/>
      <c r="F17" s="208"/>
    </row>
    <row r="18" spans="2:6" hidden="1"/>
    <row r="19" spans="2:6" hidden="1">
      <c r="B19" s="763" t="s">
        <v>23</v>
      </c>
      <c r="C19" s="764"/>
      <c r="D19" s="764"/>
      <c r="E19" s="764"/>
      <c r="F19" s="767"/>
    </row>
    <row r="20" spans="2:6" ht="27.75" hidden="1" customHeight="1">
      <c r="B20" s="758"/>
      <c r="C20" s="759"/>
      <c r="D20" s="759"/>
      <c r="E20" s="759"/>
      <c r="F20" s="768"/>
    </row>
  </sheetData>
  <sheetProtection formatCells="0" formatColumns="0" formatRows="0" insertHyperlinks="0"/>
  <mergeCells count="4">
    <mergeCell ref="B19:F19"/>
    <mergeCell ref="B20:F20"/>
    <mergeCell ref="B4:D4"/>
    <mergeCell ref="E4:F4"/>
  </mergeCells>
  <conditionalFormatting sqref="E4:F4 C7:C16">
    <cfRule type="expression" dxfId="1366" priority="1">
      <formula>$A$2="PRINT"</formula>
    </cfRule>
  </conditionalFormatting>
  <dataValidations count="1">
    <dataValidation type="list" allowBlank="1" showInputMessage="1" showErrorMessage="1" sqref="E4:F4" xr:uid="{00000000-0002-0000-0900-000000000000}">
      <formula1>"Click to select,0,1,2,3,4,5,6,7,8,9,10"</formula1>
    </dataValidation>
  </dataValidations>
  <pageMargins left="0.70866141732283472" right="0.70866141732283472" top="0.74803149606299213" bottom="0.74803149606299213" header="0.31496062992125984" footer="0.31496062992125984"/>
  <pageSetup paperSize="9" scale="74" fitToHeight="0" pageOrder="overThenDown"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OFFSET('Dynamic lists'!$L$5,,,'Dynamic lists'!$N$5)</xm:f>
          </x14:formula1>
          <xm:sqref>C7:C16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3">
    <tabColor theme="2" tint="-0.249977111117893"/>
    <pageSetUpPr fitToPage="1"/>
  </sheetPr>
  <dimension ref="A1:C6"/>
  <sheetViews>
    <sheetView showGridLines="0" zoomScaleNormal="100" workbookViewId="0">
      <selection activeCell="B2" sqref="B2:C2"/>
    </sheetView>
  </sheetViews>
  <sheetFormatPr defaultColWidth="9.140625" defaultRowHeight="15"/>
  <cols>
    <col min="1" max="1" width="9.140625" style="16"/>
    <col min="2" max="2" width="35.7109375" style="16" customWidth="1"/>
    <col min="3" max="3" width="80.7109375" style="16" customWidth="1"/>
    <col min="4" max="4" width="1.7109375" style="16" customWidth="1"/>
    <col min="5" max="5" width="9.140625" style="16"/>
    <col min="6" max="6" width="10.7109375" style="16" customWidth="1"/>
    <col min="7" max="16384" width="9.140625" style="16"/>
  </cols>
  <sheetData>
    <row r="1" spans="1:3">
      <c r="A1" s="96"/>
    </row>
    <row r="2" spans="1:3" ht="18.75">
      <c r="A2" s="104"/>
      <c r="B2" s="636" t="s">
        <v>270</v>
      </c>
      <c r="C2" s="636"/>
    </row>
    <row r="5" spans="1:3" s="4" customFormat="1">
      <c r="B5" s="673" t="s">
        <v>257</v>
      </c>
      <c r="C5" s="773"/>
    </row>
    <row r="6" spans="1:3">
      <c r="B6" s="771" t="s">
        <v>920</v>
      </c>
      <c r="C6" s="772"/>
    </row>
  </sheetData>
  <sheetProtection formatCells="0" formatColumns="0" formatRows="0" insertHyperlinks="0"/>
  <mergeCells count="3">
    <mergeCell ref="B2:C2"/>
    <mergeCell ref="B6:C6"/>
    <mergeCell ref="B5:C5"/>
  </mergeCells>
  <conditionalFormatting sqref="B6:C6">
    <cfRule type="expression" dxfId="1365" priority="1">
      <formula>$A$2="PRINT"</formula>
    </cfRule>
  </conditionalFormatting>
  <pageMargins left="0.70866141732283472" right="0.70866141732283472" top="0.74803149606299213" bottom="0.74803149606299213" header="0.31496062992125984" footer="0.31496062992125984"/>
  <pageSetup paperSize="9" scale="75" fitToHeight="0" pageOrder="overThenDown" orientation="portrait" r:id="rId1"/>
  <headerFooter>
    <oddFooter>&amp;C&amp;P</oddFooter>
  </headerFooter>
  <drawing r:id="rId2"/>
  <picture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4">
    <tabColor theme="2" tint="-0.249977111117893"/>
    <pageSetUpPr fitToPage="1"/>
  </sheetPr>
  <dimension ref="A1:G37"/>
  <sheetViews>
    <sheetView showGridLines="0" zoomScaleNormal="100" workbookViewId="0">
      <selection activeCell="D4" sqref="D4:F4"/>
    </sheetView>
  </sheetViews>
  <sheetFormatPr defaultColWidth="9.140625" defaultRowHeight="15"/>
  <cols>
    <col min="1" max="1" width="9.140625" style="16"/>
    <col min="2" max="2" width="39.7109375" style="16" customWidth="1"/>
    <col min="3" max="3" width="43" style="16" customWidth="1"/>
    <col min="4" max="4" width="9.28515625" style="16" customWidth="1"/>
    <col min="5" max="6" width="13.28515625" style="16" customWidth="1"/>
    <col min="7" max="7" width="1.7109375" customWidth="1"/>
    <col min="8" max="8" width="12.7109375" style="16" customWidth="1"/>
    <col min="9" max="16384" width="9.140625" style="16"/>
  </cols>
  <sheetData>
    <row r="1" spans="1:7">
      <c r="A1" s="96"/>
    </row>
    <row r="2" spans="1:7" ht="18.75">
      <c r="A2" s="104"/>
      <c r="B2" s="42" t="s">
        <v>990</v>
      </c>
      <c r="C2" s="42"/>
      <c r="D2" s="45"/>
    </row>
    <row r="4" spans="1:7" ht="30" customHeight="1">
      <c r="B4" s="774" t="s">
        <v>991</v>
      </c>
      <c r="C4" s="775"/>
      <c r="D4" s="769" t="s">
        <v>1786</v>
      </c>
      <c r="E4" s="776"/>
      <c r="F4" s="776"/>
      <c r="G4" s="182"/>
    </row>
    <row r="5" spans="1:7">
      <c r="B5" s="208"/>
      <c r="C5" s="208"/>
      <c r="D5" s="208"/>
      <c r="E5" s="208"/>
      <c r="F5" s="208"/>
    </row>
    <row r="6" spans="1:7" ht="18" hidden="1" thickBot="1">
      <c r="B6" s="32" t="s">
        <v>295</v>
      </c>
      <c r="C6" s="32"/>
      <c r="D6" s="32"/>
      <c r="E6" s="32"/>
      <c r="F6" s="32"/>
    </row>
    <row r="7" spans="1:7" s="4" customFormat="1" hidden="1">
      <c r="B7" s="212"/>
      <c r="C7" s="212"/>
      <c r="D7" s="212"/>
      <c r="E7" s="212"/>
      <c r="F7" s="212"/>
      <c r="G7"/>
    </row>
    <row r="8" spans="1:7" ht="15" hidden="1" customHeight="1">
      <c r="B8" s="654" t="s">
        <v>297</v>
      </c>
      <c r="C8" s="655"/>
      <c r="D8" s="655"/>
      <c r="E8" s="655"/>
      <c r="F8" s="655"/>
      <c r="G8" s="182"/>
    </row>
    <row r="9" spans="1:7" ht="75" hidden="1" customHeight="1">
      <c r="B9" s="783"/>
      <c r="C9" s="784"/>
      <c r="D9" s="784"/>
      <c r="E9" s="784"/>
      <c r="F9" s="784"/>
      <c r="G9" s="181"/>
    </row>
    <row r="10" spans="1:7" s="4" customFormat="1" hidden="1">
      <c r="B10" s="208"/>
      <c r="C10" s="208"/>
      <c r="D10" s="208"/>
      <c r="E10" s="208"/>
      <c r="F10" s="208"/>
      <c r="G10"/>
    </row>
    <row r="11" spans="1:7" s="4" customFormat="1" hidden="1">
      <c r="B11" s="774" t="s">
        <v>638</v>
      </c>
      <c r="C11" s="775"/>
      <c r="D11" s="769" t="s">
        <v>240</v>
      </c>
      <c r="E11" s="776"/>
      <c r="F11" s="776"/>
      <c r="G11" s="182"/>
    </row>
    <row r="12" spans="1:7" s="4" customFormat="1" hidden="1">
      <c r="B12" s="213"/>
      <c r="C12" s="208"/>
      <c r="D12" s="208"/>
      <c r="E12" s="208"/>
      <c r="F12" s="208"/>
      <c r="G12"/>
    </row>
    <row r="13" spans="1:7" hidden="1">
      <c r="B13" s="148" t="s">
        <v>269</v>
      </c>
      <c r="C13" s="645" t="s">
        <v>637</v>
      </c>
      <c r="D13" s="645"/>
      <c r="E13" s="645"/>
      <c r="F13" s="645"/>
      <c r="G13" s="182"/>
    </row>
    <row r="14" spans="1:7" hidden="1">
      <c r="B14" s="214" t="s">
        <v>240</v>
      </c>
      <c r="C14" s="777"/>
      <c r="D14" s="777"/>
      <c r="E14" s="777"/>
      <c r="F14" s="777"/>
      <c r="G14" s="182"/>
    </row>
    <row r="15" spans="1:7" hidden="1">
      <c r="B15" s="214" t="s">
        <v>240</v>
      </c>
      <c r="C15" s="777"/>
      <c r="D15" s="777"/>
      <c r="E15" s="777"/>
      <c r="F15" s="777"/>
      <c r="G15" s="182"/>
    </row>
    <row r="16" spans="1:7" hidden="1">
      <c r="B16" s="214" t="s">
        <v>240</v>
      </c>
      <c r="C16" s="777"/>
      <c r="D16" s="777"/>
      <c r="E16" s="777"/>
      <c r="F16" s="777"/>
      <c r="G16" s="182"/>
    </row>
    <row r="17" spans="2:7" hidden="1">
      <c r="B17" s="214" t="s">
        <v>240</v>
      </c>
      <c r="C17" s="777"/>
      <c r="D17" s="777"/>
      <c r="E17" s="777"/>
      <c r="F17" s="777"/>
      <c r="G17" s="182"/>
    </row>
    <row r="18" spans="2:7" hidden="1">
      <c r="B18" s="214" t="s">
        <v>240</v>
      </c>
      <c r="C18" s="777"/>
      <c r="D18" s="777"/>
      <c r="E18" s="777"/>
      <c r="F18" s="777"/>
      <c r="G18" s="182"/>
    </row>
    <row r="19" spans="2:7" hidden="1">
      <c r="B19" s="214" t="s">
        <v>240</v>
      </c>
      <c r="C19" s="777"/>
      <c r="D19" s="777"/>
      <c r="E19" s="777"/>
      <c r="F19" s="777"/>
      <c r="G19" s="182"/>
    </row>
    <row r="20" spans="2:7" hidden="1">
      <c r="B20" s="214" t="s">
        <v>240</v>
      </c>
      <c r="C20" s="777"/>
      <c r="D20" s="777"/>
      <c r="E20" s="777"/>
      <c r="F20" s="777"/>
      <c r="G20" s="182"/>
    </row>
    <row r="21" spans="2:7" hidden="1">
      <c r="B21" s="214" t="s">
        <v>240</v>
      </c>
      <c r="C21" s="777"/>
      <c r="D21" s="777"/>
      <c r="E21" s="777"/>
      <c r="F21" s="777"/>
      <c r="G21" s="182"/>
    </row>
    <row r="22" spans="2:7" hidden="1">
      <c r="B22" s="214" t="s">
        <v>240</v>
      </c>
      <c r="C22" s="777"/>
      <c r="D22" s="777"/>
      <c r="E22" s="777"/>
      <c r="F22" s="777"/>
      <c r="G22" s="182"/>
    </row>
    <row r="23" spans="2:7" hidden="1">
      <c r="B23" s="214" t="s">
        <v>240</v>
      </c>
      <c r="C23" s="777"/>
      <c r="D23" s="777"/>
      <c r="E23" s="777"/>
      <c r="F23" s="777"/>
      <c r="G23" s="182"/>
    </row>
    <row r="24" spans="2:7" hidden="1">
      <c r="B24" s="208"/>
      <c r="C24" s="208"/>
      <c r="D24" s="208"/>
      <c r="E24" s="208"/>
      <c r="F24" s="208"/>
    </row>
    <row r="25" spans="2:7" ht="18" hidden="1" thickBot="1">
      <c r="B25" s="32" t="s">
        <v>296</v>
      </c>
      <c r="C25" s="32"/>
      <c r="D25" s="32"/>
      <c r="E25" s="32"/>
      <c r="F25" s="32"/>
    </row>
    <row r="26" spans="2:7" hidden="1">
      <c r="B26" s="212"/>
      <c r="C26" s="212"/>
      <c r="D26" s="212"/>
      <c r="E26" s="212"/>
      <c r="F26" s="212"/>
    </row>
    <row r="27" spans="2:7" hidden="1">
      <c r="B27" s="654" t="s">
        <v>376</v>
      </c>
      <c r="C27" s="655"/>
      <c r="D27" s="655"/>
      <c r="E27" s="655"/>
      <c r="F27" s="655"/>
      <c r="G27" s="182"/>
    </row>
    <row r="28" spans="2:7" ht="15" hidden="1" customHeight="1">
      <c r="B28" s="779"/>
      <c r="C28" s="780"/>
      <c r="D28" s="780"/>
      <c r="E28" s="780"/>
      <c r="F28" s="780"/>
      <c r="G28" s="182"/>
    </row>
    <row r="29" spans="2:7" ht="35.25" hidden="1" customHeight="1">
      <c r="B29" s="781"/>
      <c r="C29" s="782"/>
      <c r="D29" s="782"/>
      <c r="E29" s="782"/>
      <c r="F29" s="782"/>
      <c r="G29" s="181"/>
    </row>
    <row r="30" spans="2:7" ht="32.25" hidden="1" customHeight="1">
      <c r="B30" s="781"/>
      <c r="C30" s="782"/>
      <c r="D30" s="782"/>
      <c r="E30" s="782"/>
      <c r="F30" s="782"/>
      <c r="G30" s="182"/>
    </row>
    <row r="31" spans="2:7" ht="35.25" hidden="1" customHeight="1">
      <c r="B31" s="781"/>
      <c r="C31" s="782"/>
      <c r="D31" s="782"/>
      <c r="E31" s="782"/>
      <c r="F31" s="782"/>
      <c r="G31" s="181"/>
    </row>
    <row r="32" spans="2:7" hidden="1">
      <c r="B32" s="781"/>
      <c r="C32" s="782"/>
      <c r="D32" s="782"/>
      <c r="E32" s="782"/>
      <c r="F32" s="782"/>
      <c r="G32" s="182"/>
    </row>
    <row r="33" spans="2:7" ht="32.25" hidden="1" customHeight="1">
      <c r="B33" s="781"/>
      <c r="C33" s="782"/>
      <c r="D33" s="782"/>
      <c r="E33" s="782"/>
      <c r="F33" s="782"/>
      <c r="G33" s="182"/>
    </row>
    <row r="34" spans="2:7" hidden="1">
      <c r="B34" s="781"/>
      <c r="C34" s="782"/>
      <c r="D34" s="782"/>
      <c r="E34" s="782"/>
      <c r="F34" s="782"/>
      <c r="G34" s="215"/>
    </row>
    <row r="35" spans="2:7" ht="32.25" hidden="1" customHeight="1">
      <c r="B35" s="781"/>
      <c r="C35" s="782"/>
      <c r="D35" s="782"/>
      <c r="E35" s="782"/>
      <c r="F35" s="782"/>
      <c r="G35" s="182"/>
    </row>
    <row r="36" spans="2:7" ht="30" hidden="1" customHeight="1">
      <c r="B36" s="778" t="s">
        <v>992</v>
      </c>
      <c r="C36" s="778"/>
      <c r="D36" s="778"/>
      <c r="E36" s="778"/>
      <c r="F36" s="778"/>
      <c r="G36" s="43"/>
    </row>
    <row r="37" spans="2:7" hidden="1"/>
  </sheetData>
  <sheetProtection formatCells="0" formatColumns="0" formatRows="0" insertHyperlinks="0"/>
  <mergeCells count="20">
    <mergeCell ref="B36:F36"/>
    <mergeCell ref="B28:F35"/>
    <mergeCell ref="B8:F8"/>
    <mergeCell ref="B9:F9"/>
    <mergeCell ref="B27:F27"/>
    <mergeCell ref="C16:F16"/>
    <mergeCell ref="C17:F17"/>
    <mergeCell ref="C18:F18"/>
    <mergeCell ref="C19:F19"/>
    <mergeCell ref="C20:F20"/>
    <mergeCell ref="C21:F21"/>
    <mergeCell ref="C22:F22"/>
    <mergeCell ref="C23:F23"/>
    <mergeCell ref="B4:C4"/>
    <mergeCell ref="D4:F4"/>
    <mergeCell ref="C13:F13"/>
    <mergeCell ref="C14:F14"/>
    <mergeCell ref="C15:F15"/>
    <mergeCell ref="B11:C11"/>
    <mergeCell ref="D11:F11"/>
  </mergeCells>
  <conditionalFormatting sqref="D4:F4 D11:F11 B14:B23">
    <cfRule type="expression" dxfId="1364" priority="1">
      <formula>$A$2="PRINT"</formula>
    </cfRule>
  </conditionalFormatting>
  <dataValidations count="2">
    <dataValidation type="list" allowBlank="1" showInputMessage="1" showErrorMessage="1" sqref="D4:F4" xr:uid="{00000000-0002-0000-0B00-000000000000}">
      <formula1>"Click to select,Yes,No"</formula1>
    </dataValidation>
    <dataValidation type="list" allowBlank="1" showInputMessage="1" showErrorMessage="1" sqref="D11" xr:uid="{00000000-0002-0000-0B00-000001000000}">
      <formula1>"Click to select,1,2,3,4,5,6,7,8,9,10"</formula1>
    </dataValidation>
  </dataValidations>
  <pageMargins left="0.70866141732283472" right="0.70866141732283472" top="0.74803149606299213" bottom="0.74803149606299213" header="0.31496062992125984" footer="0.31496062992125984"/>
  <pageSetup paperSize="9" scale="74" fitToHeight="0" pageOrder="overThenDown"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2000000}">
          <x14:formula1>
            <xm:f>OFFSET('Dynamic lists'!$L$5,,,'Dynamic lists'!$N$5)</xm:f>
          </x14:formula1>
          <xm:sqref>B14:B23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2">
    <tabColor theme="1"/>
    <pageSetUpPr fitToPage="1"/>
  </sheetPr>
  <dimension ref="A1:F59"/>
  <sheetViews>
    <sheetView showGridLines="0"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16384" width="9.140625" style="10"/>
  </cols>
  <sheetData>
    <row r="1" spans="1:6" s="9" customFormat="1">
      <c r="A1" s="8"/>
      <c r="C1" s="36"/>
      <c r="D1" s="37"/>
    </row>
    <row r="2" spans="1:6" ht="21">
      <c r="A2" s="104"/>
      <c r="B2" s="621" t="s">
        <v>229</v>
      </c>
      <c r="C2" s="621"/>
      <c r="D2" s="621"/>
      <c r="E2" s="621"/>
      <c r="F2" s="621"/>
    </row>
    <row r="3" spans="1:6">
      <c r="B3" s="138"/>
      <c r="C3" s="139"/>
      <c r="D3" s="140"/>
      <c r="E3" s="138"/>
      <c r="F3" s="138"/>
    </row>
    <row r="4" spans="1:6" ht="15" customHeight="1">
      <c r="B4"/>
      <c r="C4"/>
      <c r="D4"/>
      <c r="E4"/>
      <c r="F4"/>
    </row>
    <row r="5" spans="1:6" ht="15" customHeight="1">
      <c r="B5" s="372" t="str">
        <f>'2.1 Investments_ANSP#1'!$B$2</f>
        <v>2.1 - Investments - DCAC Cyprus</v>
      </c>
      <c r="C5"/>
      <c r="D5"/>
      <c r="E5"/>
      <c r="F5"/>
    </row>
    <row r="6" spans="1:6">
      <c r="B6" s="112" t="s">
        <v>1009</v>
      </c>
      <c r="C6"/>
      <c r="D6"/>
      <c r="E6"/>
      <c r="F6"/>
    </row>
    <row r="7" spans="1:6">
      <c r="B7" s="112" t="s">
        <v>1010</v>
      </c>
      <c r="C7"/>
      <c r="D7"/>
      <c r="E7"/>
      <c r="F7"/>
    </row>
    <row r="8" spans="1:6">
      <c r="B8" s="112" t="s">
        <v>1011</v>
      </c>
      <c r="C8"/>
      <c r="D8"/>
      <c r="E8"/>
      <c r="F8"/>
    </row>
    <row r="10" spans="1:6" ht="15" customHeight="1">
      <c r="B10" s="372" t="str">
        <f>'2.2 Investments_ANSP#2'!$B$2</f>
        <v>2.2 - Investments - Department of Meteorology of the Ministry of Agriculture and Natural resources of the republic of Cyprus.</v>
      </c>
      <c r="C10"/>
      <c r="D10"/>
      <c r="E10"/>
      <c r="F10"/>
    </row>
    <row r="11" spans="1:6">
      <c r="B11" s="112" t="s">
        <v>1012</v>
      </c>
      <c r="C11"/>
      <c r="D11"/>
      <c r="E11"/>
      <c r="F11"/>
    </row>
    <row r="12" spans="1:6">
      <c r="B12" s="112" t="s">
        <v>1013</v>
      </c>
      <c r="C12"/>
      <c r="D12"/>
      <c r="E12"/>
      <c r="F12"/>
    </row>
    <row r="13" spans="1:6">
      <c r="B13" s="112" t="s">
        <v>1014</v>
      </c>
      <c r="C13"/>
      <c r="D13"/>
      <c r="E13"/>
      <c r="F13"/>
    </row>
    <row r="14" spans="1:6">
      <c r="B14" s="111"/>
      <c r="C14"/>
      <c r="D14"/>
      <c r="E14"/>
      <c r="F14"/>
    </row>
    <row r="15" spans="1:6" hidden="1">
      <c r="B15" s="372" t="str">
        <f>'2.3 Investments_ANSP#3'!$B$2</f>
        <v xml:space="preserve">2.3 - Investments - </v>
      </c>
      <c r="C15"/>
      <c r="D15"/>
      <c r="E15"/>
      <c r="F15"/>
    </row>
    <row r="16" spans="1:6" hidden="1">
      <c r="B16" s="112" t="s">
        <v>1015</v>
      </c>
      <c r="C16"/>
      <c r="D16"/>
      <c r="E16"/>
      <c r="F16"/>
    </row>
    <row r="17" spans="2:6" hidden="1">
      <c r="B17" s="112" t="s">
        <v>1016</v>
      </c>
      <c r="C17"/>
      <c r="D17"/>
      <c r="E17"/>
      <c r="F17"/>
    </row>
    <row r="18" spans="2:6" hidden="1">
      <c r="B18" s="112" t="s">
        <v>1017</v>
      </c>
      <c r="C18"/>
      <c r="D18"/>
      <c r="E18"/>
      <c r="F18"/>
    </row>
    <row r="19" spans="2:6" hidden="1">
      <c r="B19" s="111"/>
      <c r="C19"/>
      <c r="D19"/>
      <c r="E19"/>
      <c r="F19"/>
    </row>
    <row r="20" spans="2:6" hidden="1">
      <c r="B20" s="372" t="str">
        <f>'2.4 Investments_ANSP#4'!$B$2</f>
        <v xml:space="preserve">2.4 - Investments - </v>
      </c>
      <c r="C20"/>
      <c r="D20"/>
      <c r="E20"/>
      <c r="F20"/>
    </row>
    <row r="21" spans="2:6" hidden="1">
      <c r="B21" s="112" t="s">
        <v>1018</v>
      </c>
      <c r="C21"/>
      <c r="D21"/>
      <c r="E21"/>
      <c r="F21"/>
    </row>
    <row r="22" spans="2:6" hidden="1">
      <c r="B22" s="112" t="s">
        <v>1019</v>
      </c>
      <c r="C22"/>
      <c r="D22"/>
      <c r="E22"/>
      <c r="F22"/>
    </row>
    <row r="23" spans="2:6" hidden="1">
      <c r="B23" s="112" t="s">
        <v>1020</v>
      </c>
      <c r="C23"/>
      <c r="D23"/>
      <c r="E23"/>
      <c r="F23"/>
    </row>
    <row r="24" spans="2:6" hidden="1">
      <c r="B24" s="111"/>
      <c r="C24"/>
      <c r="D24"/>
      <c r="E24"/>
      <c r="F24"/>
    </row>
    <row r="25" spans="2:6" hidden="1">
      <c r="B25" s="372" t="str">
        <f>'2.5 Investments_ANSP#5'!$B$2</f>
        <v xml:space="preserve">2.5 - Investments - </v>
      </c>
      <c r="C25"/>
      <c r="D25"/>
      <c r="E25"/>
      <c r="F25"/>
    </row>
    <row r="26" spans="2:6" hidden="1">
      <c r="B26" s="112" t="s">
        <v>1023</v>
      </c>
      <c r="C26"/>
      <c r="D26"/>
      <c r="E26"/>
      <c r="F26"/>
    </row>
    <row r="27" spans="2:6" hidden="1">
      <c r="B27" s="112" t="s">
        <v>1021</v>
      </c>
      <c r="C27"/>
      <c r="D27"/>
      <c r="E27"/>
      <c r="F27"/>
    </row>
    <row r="28" spans="2:6" hidden="1">
      <c r="B28" s="112" t="s">
        <v>1022</v>
      </c>
      <c r="C28"/>
      <c r="D28"/>
      <c r="E28"/>
      <c r="F28"/>
    </row>
    <row r="29" spans="2:6" hidden="1">
      <c r="B29" s="111"/>
      <c r="C29"/>
      <c r="D29"/>
      <c r="E29"/>
      <c r="F29"/>
    </row>
    <row r="30" spans="2:6" hidden="1">
      <c r="B30" s="372" t="str">
        <f>'2.6 Investments_ANSP#6'!$B$2</f>
        <v xml:space="preserve">2.6 - Investments - </v>
      </c>
      <c r="C30"/>
      <c r="D30"/>
      <c r="E30"/>
      <c r="F30"/>
    </row>
    <row r="31" spans="2:6" hidden="1">
      <c r="B31" s="112" t="s">
        <v>1024</v>
      </c>
      <c r="C31"/>
      <c r="D31"/>
      <c r="E31"/>
      <c r="F31"/>
    </row>
    <row r="32" spans="2:6" hidden="1">
      <c r="B32" s="112" t="s">
        <v>1025</v>
      </c>
      <c r="C32"/>
      <c r="D32"/>
      <c r="E32"/>
      <c r="F32"/>
    </row>
    <row r="33" spans="2:6" hidden="1">
      <c r="B33" s="112" t="s">
        <v>1026</v>
      </c>
      <c r="C33"/>
      <c r="D33"/>
      <c r="E33"/>
      <c r="F33"/>
    </row>
    <row r="34" spans="2:6" hidden="1">
      <c r="B34" s="111"/>
      <c r="C34"/>
      <c r="D34"/>
      <c r="E34"/>
      <c r="F34"/>
    </row>
    <row r="35" spans="2:6" hidden="1">
      <c r="B35" s="372" t="str">
        <f>'2.7 Investments_ANSP#7'!$B$2</f>
        <v xml:space="preserve">2.7 - Investments - </v>
      </c>
      <c r="C35"/>
      <c r="D35"/>
      <c r="E35"/>
      <c r="F35"/>
    </row>
    <row r="36" spans="2:6" hidden="1">
      <c r="B36" s="112" t="s">
        <v>1027</v>
      </c>
      <c r="C36"/>
      <c r="D36"/>
      <c r="E36"/>
      <c r="F36"/>
    </row>
    <row r="37" spans="2:6" hidden="1">
      <c r="B37" s="112" t="s">
        <v>1028</v>
      </c>
      <c r="C37"/>
      <c r="D37"/>
      <c r="E37"/>
      <c r="F37"/>
    </row>
    <row r="38" spans="2:6" hidden="1">
      <c r="B38" s="112" t="s">
        <v>1029</v>
      </c>
      <c r="C38"/>
      <c r="D38"/>
      <c r="E38"/>
      <c r="F38"/>
    </row>
    <row r="39" spans="2:6" hidden="1">
      <c r="B39" s="111"/>
      <c r="C39"/>
      <c r="D39"/>
      <c r="E39"/>
      <c r="F39"/>
    </row>
    <row r="40" spans="2:6" hidden="1">
      <c r="B40" s="372" t="str">
        <f>'2.8 Investments_ANSP#8'!$B$2</f>
        <v xml:space="preserve">2.8 - Investments - </v>
      </c>
      <c r="C40"/>
      <c r="D40"/>
      <c r="E40"/>
      <c r="F40"/>
    </row>
    <row r="41" spans="2:6" hidden="1">
      <c r="B41" s="112" t="s">
        <v>1032</v>
      </c>
      <c r="C41"/>
      <c r="D41"/>
      <c r="E41"/>
      <c r="F41"/>
    </row>
    <row r="42" spans="2:6" hidden="1">
      <c r="B42" s="112" t="s">
        <v>1031</v>
      </c>
      <c r="C42"/>
      <c r="D42"/>
      <c r="E42"/>
      <c r="F42"/>
    </row>
    <row r="43" spans="2:6" hidden="1">
      <c r="B43" s="112" t="s">
        <v>1030</v>
      </c>
      <c r="C43"/>
      <c r="D43"/>
      <c r="E43"/>
      <c r="F43"/>
    </row>
    <row r="44" spans="2:6" hidden="1"/>
    <row r="45" spans="2:6" hidden="1">
      <c r="B45" s="372" t="str">
        <f>'2.9 Investments_ANSP#9'!$B$2</f>
        <v xml:space="preserve">2.9 - Investments - </v>
      </c>
    </row>
    <row r="46" spans="2:6" hidden="1">
      <c r="B46" s="112" t="s">
        <v>1035</v>
      </c>
    </row>
    <row r="47" spans="2:6" hidden="1">
      <c r="B47" s="112" t="s">
        <v>1034</v>
      </c>
    </row>
    <row r="48" spans="2:6" hidden="1">
      <c r="B48" s="112" t="s">
        <v>1033</v>
      </c>
    </row>
    <row r="49" spans="2:2" hidden="1"/>
    <row r="50" spans="2:2" hidden="1">
      <c r="B50" s="372" t="str">
        <f>'2.10 Investments_ANSP#10'!$B$2</f>
        <v xml:space="preserve">2.10 - Investments - </v>
      </c>
    </row>
    <row r="51" spans="2:2" hidden="1">
      <c r="B51" s="112" t="s">
        <v>1038</v>
      </c>
    </row>
    <row r="52" spans="2:2" hidden="1">
      <c r="B52" s="112" t="s">
        <v>1037</v>
      </c>
    </row>
    <row r="53" spans="2:2" hidden="1">
      <c r="B53" s="112" t="s">
        <v>1036</v>
      </c>
    </row>
    <row r="54" spans="2:2" hidden="1"/>
    <row r="56" spans="2:2">
      <c r="B56" s="124" t="s">
        <v>1183</v>
      </c>
    </row>
    <row r="57" spans="2:2">
      <c r="B57" s="123" t="s">
        <v>1172</v>
      </c>
    </row>
    <row r="59" spans="2:2">
      <c r="B59" s="9" t="s">
        <v>1186</v>
      </c>
    </row>
  </sheetData>
  <sheetProtection formatCells="0" formatColumns="0" formatRows="0" insertHyperlinks="0"/>
  <mergeCells count="1">
    <mergeCell ref="B2:F2"/>
  </mergeCells>
  <hyperlinks>
    <hyperlink ref="B5" location="'2.1 Investments_ANSP#1'!B2" display="'2.1 Investments_ANSP#1'!B2" xr:uid="{00000000-0004-0000-0C00-000000000000}"/>
    <hyperlink ref="B10" location="'2.2 Investments_ANSP#2'!B2" display="'2.2 Investments_ANSP#2'!B2" xr:uid="{00000000-0004-0000-0C00-000001000000}"/>
    <hyperlink ref="B15" location="'2.3 Investments_ANSP#3'!B2" display="'2.3 Investments_ANSP#3'!B2" xr:uid="{00000000-0004-0000-0C00-000002000000}"/>
    <hyperlink ref="B20" location="'2.4 Investments_ANSP#4'!B2" display="'2.4 Investments_ANSP#4'!B2" xr:uid="{00000000-0004-0000-0C00-000003000000}"/>
    <hyperlink ref="B25" location="'2.5 Investments_ANSP#5'!B2" display="'2.5 Investments_ANSP#5'!B2" xr:uid="{00000000-0004-0000-0C00-000004000000}"/>
    <hyperlink ref="B30" location="'2.6 Investments_ANSP#6'!B2" display="'2.6 Investments_ANSP#6'!B2" xr:uid="{00000000-0004-0000-0C00-000005000000}"/>
    <hyperlink ref="B35" location="'2.7 Investments_ANSP#7'!B2" display="'2.7 Investments_ANSP#7'!B2" xr:uid="{00000000-0004-0000-0C00-000006000000}"/>
    <hyperlink ref="B45" location="'2.9 Investments_ANSP#9'!B2" display="'2.9 Investments_ANSP#9'!B2" xr:uid="{00000000-0004-0000-0C00-000007000000}"/>
    <hyperlink ref="B50" location="'2.10 Investments_ANSP#10'!B2" display="'2.10 Investments_ANSP#10'!B2" xr:uid="{00000000-0004-0000-0C00-000008000000}"/>
    <hyperlink ref="B40" location="'2.8 Investments_ANSP#8'!B2" display="'2.8 Investments_ANSP#8'!B2" xr:uid="{00000000-0004-0000-0C00-000009000000}"/>
  </hyperlinks>
  <pageMargins left="0.70866141732283472" right="0.70866141732283472" top="0.74803149606299213" bottom="0.74803149606299213" header="0.31496062992125984" footer="0.31496062992125984"/>
  <pageSetup scale="80" fitToHeight="0" orientation="portrait" r:id="rId1"/>
  <headerFooter>
    <oddFooter>&amp;C&amp;P</oddFooter>
  </headerFooter>
  <pictur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54">
    <tabColor theme="9" tint="0.79998168889431442"/>
    <pageSetUpPr fitToPage="1"/>
  </sheetPr>
  <dimension ref="A1:Q1051"/>
  <sheetViews>
    <sheetView showGridLines="0" topLeftCell="A1025" zoomScaleNormal="100" workbookViewId="0">
      <selection activeCell="L88" sqref="L88:M88"/>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"2.1 - Investments - "&amp;'1.1 The situation'!$B$13</f>
        <v>2.1 - Investments - DCAC Cyprus</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1009</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v>2</v>
      </c>
      <c r="E6" s="850"/>
      <c r="F6" s="850"/>
      <c r="G6" s="144"/>
    </row>
    <row r="7" spans="1:17" ht="15" customHeight="1">
      <c r="B7" s="132"/>
      <c r="C7" s="132"/>
      <c r="D7" s="132"/>
      <c r="E7" s="132"/>
      <c r="F7" s="132"/>
    </row>
    <row r="8" spans="1:17" ht="30" customHeight="1">
      <c r="B8" s="673" t="s">
        <v>361</v>
      </c>
      <c r="C8" s="673" t="s">
        <v>324</v>
      </c>
      <c r="D8" s="673" t="s">
        <v>316</v>
      </c>
      <c r="E8" s="673" t="s">
        <v>993</v>
      </c>
      <c r="F8" s="673" t="s">
        <v>317</v>
      </c>
      <c r="G8" s="673"/>
      <c r="H8" s="673"/>
      <c r="I8" s="673"/>
      <c r="J8" s="673"/>
      <c r="K8" s="673" t="s">
        <v>40</v>
      </c>
      <c r="L8" s="673" t="s">
        <v>362</v>
      </c>
      <c r="M8" s="674"/>
      <c r="N8" s="673" t="s">
        <v>358</v>
      </c>
      <c r="O8" s="144"/>
      <c r="Q8" s="43"/>
    </row>
    <row r="9" spans="1:17" ht="29.25" customHeight="1">
      <c r="B9" s="673" t="s">
        <v>361</v>
      </c>
      <c r="C9" s="673"/>
      <c r="D9" s="673"/>
      <c r="E9" s="833"/>
      <c r="F9" s="198">
        <v>2020</v>
      </c>
      <c r="G9" s="198">
        <v>2021</v>
      </c>
      <c r="H9" s="198">
        <v>2022</v>
      </c>
      <c r="I9" s="198">
        <v>2023</v>
      </c>
      <c r="J9" s="198">
        <v>2024</v>
      </c>
      <c r="K9" s="673"/>
      <c r="L9" s="136" t="s">
        <v>303</v>
      </c>
      <c r="M9" s="136" t="s">
        <v>264</v>
      </c>
      <c r="N9" s="673"/>
      <c r="O9" s="144"/>
    </row>
    <row r="10" spans="1:17">
      <c r="A10" s="216"/>
      <c r="B10" s="217">
        <v>1</v>
      </c>
      <c r="C10" s="218" t="s">
        <v>1820</v>
      </c>
      <c r="D10" s="593">
        <v>6075847</v>
      </c>
      <c r="E10" s="593">
        <v>6075847</v>
      </c>
      <c r="F10" s="593">
        <v>128883.80608000001</v>
      </c>
      <c r="G10" s="593">
        <v>283886</v>
      </c>
      <c r="H10" s="593">
        <v>896187.4325</v>
      </c>
      <c r="I10" s="593">
        <v>881301.60734999995</v>
      </c>
      <c r="J10" s="593">
        <v>867327.15925000003</v>
      </c>
      <c r="K10" s="205">
        <v>10</v>
      </c>
      <c r="L10" s="219">
        <v>1</v>
      </c>
      <c r="M10" s="219"/>
      <c r="N10" s="220">
        <v>44562</v>
      </c>
      <c r="O10" s="144"/>
      <c r="P10" s="507"/>
    </row>
    <row r="11" spans="1:17">
      <c r="A11" s="216"/>
      <c r="B11" s="217">
        <v>2</v>
      </c>
      <c r="C11" s="218" t="s">
        <v>1821</v>
      </c>
      <c r="D11" s="593">
        <v>5223949</v>
      </c>
      <c r="E11" s="593">
        <v>5223949</v>
      </c>
      <c r="F11" s="593">
        <v>0</v>
      </c>
      <c r="G11" s="593">
        <v>85680</v>
      </c>
      <c r="H11" s="593">
        <v>261197.45</v>
      </c>
      <c r="I11" s="593">
        <v>785420.73215000005</v>
      </c>
      <c r="J11" s="593">
        <v>775495.22904999997</v>
      </c>
      <c r="K11" s="205">
        <v>10</v>
      </c>
      <c r="L11" s="219">
        <v>1</v>
      </c>
      <c r="M11" s="219"/>
      <c r="N11" s="220">
        <v>44927</v>
      </c>
      <c r="O11" s="144"/>
      <c r="P11" s="507"/>
    </row>
    <row r="12" spans="1:17" hidden="1">
      <c r="A12" s="216"/>
      <c r="B12" s="217">
        <v>3</v>
      </c>
      <c r="C12" s="218"/>
      <c r="D12" s="593"/>
      <c r="E12" s="593"/>
      <c r="F12" s="593"/>
      <c r="G12" s="593"/>
      <c r="H12" s="593"/>
      <c r="I12" s="593"/>
      <c r="J12" s="593"/>
      <c r="K12" s="205"/>
      <c r="L12" s="219"/>
      <c r="M12" s="219"/>
      <c r="N12" s="220"/>
      <c r="O12" s="144"/>
    </row>
    <row r="13" spans="1:17" hidden="1">
      <c r="A13" s="216"/>
      <c r="B13" s="217">
        <v>4</v>
      </c>
      <c r="C13" s="218"/>
      <c r="D13" s="593"/>
      <c r="E13" s="593"/>
      <c r="F13" s="593"/>
      <c r="G13" s="593"/>
      <c r="H13" s="593"/>
      <c r="I13" s="593"/>
      <c r="J13" s="593"/>
      <c r="K13" s="205"/>
      <c r="L13" s="219"/>
      <c r="M13" s="219"/>
      <c r="N13" s="220"/>
      <c r="O13" s="144"/>
    </row>
    <row r="14" spans="1:17" hidden="1">
      <c r="A14" s="216"/>
      <c r="B14" s="217">
        <v>5</v>
      </c>
      <c r="C14" s="218"/>
      <c r="D14" s="593"/>
      <c r="E14" s="593"/>
      <c r="F14" s="593"/>
      <c r="G14" s="593"/>
      <c r="H14" s="593"/>
      <c r="I14" s="593"/>
      <c r="J14" s="593"/>
      <c r="K14" s="205"/>
      <c r="L14" s="219"/>
      <c r="M14" s="219"/>
      <c r="N14" s="220"/>
      <c r="O14" s="144"/>
    </row>
    <row r="15" spans="1:17" hidden="1">
      <c r="A15" s="216"/>
      <c r="B15" s="217">
        <v>6</v>
      </c>
      <c r="C15" s="218"/>
      <c r="D15" s="593"/>
      <c r="E15" s="593"/>
      <c r="F15" s="593"/>
      <c r="G15" s="593"/>
      <c r="H15" s="593"/>
      <c r="I15" s="593"/>
      <c r="J15" s="593"/>
      <c r="K15" s="205"/>
      <c r="L15" s="219"/>
      <c r="M15" s="219"/>
      <c r="N15" s="220"/>
      <c r="O15" s="144"/>
    </row>
    <row r="16" spans="1:17" hidden="1">
      <c r="A16" s="216"/>
      <c r="B16" s="217">
        <v>7</v>
      </c>
      <c r="C16" s="218"/>
      <c r="D16" s="593"/>
      <c r="E16" s="593"/>
      <c r="F16" s="593"/>
      <c r="G16" s="593"/>
      <c r="H16" s="593"/>
      <c r="I16" s="593"/>
      <c r="J16" s="593"/>
      <c r="K16" s="205"/>
      <c r="L16" s="219"/>
      <c r="M16" s="219"/>
      <c r="N16" s="220"/>
      <c r="O16" s="144"/>
    </row>
    <row r="17" spans="1:15" hidden="1">
      <c r="A17" s="216"/>
      <c r="B17" s="217">
        <v>8</v>
      </c>
      <c r="C17" s="218"/>
      <c r="D17" s="593"/>
      <c r="E17" s="593"/>
      <c r="F17" s="593"/>
      <c r="G17" s="593"/>
      <c r="H17" s="593"/>
      <c r="I17" s="593"/>
      <c r="J17" s="593"/>
      <c r="K17" s="205"/>
      <c r="L17" s="219"/>
      <c r="M17" s="219"/>
      <c r="N17" s="220"/>
      <c r="O17" s="144"/>
    </row>
    <row r="18" spans="1:15" ht="15" hidden="1" customHeight="1">
      <c r="A18" s="216"/>
      <c r="B18" s="217">
        <v>9</v>
      </c>
      <c r="C18" s="218"/>
      <c r="D18" s="593"/>
      <c r="E18" s="593"/>
      <c r="F18" s="593">
        <v>0</v>
      </c>
      <c r="G18" s="593">
        <v>0</v>
      </c>
      <c r="H18" s="593">
        <v>0</v>
      </c>
      <c r="I18" s="593">
        <v>0</v>
      </c>
      <c r="J18" s="593">
        <v>0</v>
      </c>
      <c r="K18" s="205"/>
      <c r="L18" s="219"/>
      <c r="M18" s="219"/>
      <c r="N18" s="220"/>
      <c r="O18" s="144"/>
    </row>
    <row r="19" spans="1:15" ht="15" hidden="1" customHeight="1">
      <c r="A19" s="216"/>
      <c r="B19" s="217">
        <v>10</v>
      </c>
      <c r="C19" s="218"/>
      <c r="D19" s="593"/>
      <c r="E19" s="593"/>
      <c r="F19" s="593">
        <v>0</v>
      </c>
      <c r="G19" s="593">
        <v>0</v>
      </c>
      <c r="H19" s="593">
        <v>0</v>
      </c>
      <c r="I19" s="593">
        <v>0</v>
      </c>
      <c r="J19" s="593">
        <v>0</v>
      </c>
      <c r="K19" s="205"/>
      <c r="L19" s="219"/>
      <c r="M19" s="219"/>
      <c r="N19" s="220"/>
      <c r="O19" s="144"/>
    </row>
    <row r="20" spans="1:15" hidden="1">
      <c r="A20" s="216"/>
      <c r="B20" s="217">
        <v>11</v>
      </c>
      <c r="C20" s="218"/>
      <c r="D20" s="593"/>
      <c r="E20" s="593"/>
      <c r="F20" s="593">
        <v>0</v>
      </c>
      <c r="G20" s="593">
        <v>0</v>
      </c>
      <c r="H20" s="593">
        <v>0</v>
      </c>
      <c r="I20" s="593">
        <v>0</v>
      </c>
      <c r="J20" s="593">
        <v>0</v>
      </c>
      <c r="K20" s="205"/>
      <c r="L20" s="219"/>
      <c r="M20" s="219"/>
      <c r="N20" s="220"/>
      <c r="O20" s="144"/>
    </row>
    <row r="21" spans="1:15" ht="15" hidden="1" customHeight="1">
      <c r="A21" s="216"/>
      <c r="B21" s="217">
        <v>12</v>
      </c>
      <c r="C21" s="218"/>
      <c r="D21" s="593"/>
      <c r="E21" s="593"/>
      <c r="F21" s="593">
        <v>0</v>
      </c>
      <c r="G21" s="593">
        <v>0</v>
      </c>
      <c r="H21" s="593">
        <v>0</v>
      </c>
      <c r="I21" s="593">
        <v>0</v>
      </c>
      <c r="J21" s="593">
        <v>0</v>
      </c>
      <c r="K21" s="205"/>
      <c r="L21" s="219"/>
      <c r="M21" s="219"/>
      <c r="N21" s="220"/>
      <c r="O21" s="144"/>
    </row>
    <row r="22" spans="1:15" hidden="1">
      <c r="A22" s="216"/>
      <c r="B22" s="217">
        <v>13</v>
      </c>
      <c r="C22" s="218"/>
      <c r="D22" s="593"/>
      <c r="E22" s="593"/>
      <c r="F22" s="593">
        <v>0</v>
      </c>
      <c r="G22" s="593">
        <v>0</v>
      </c>
      <c r="H22" s="593">
        <v>0</v>
      </c>
      <c r="I22" s="593">
        <v>0</v>
      </c>
      <c r="J22" s="593">
        <v>0</v>
      </c>
      <c r="K22" s="205"/>
      <c r="L22" s="219"/>
      <c r="M22" s="219"/>
      <c r="N22" s="220"/>
      <c r="O22" s="144"/>
    </row>
    <row r="23" spans="1:15" hidden="1">
      <c r="A23" s="216"/>
      <c r="B23" s="217">
        <v>14</v>
      </c>
      <c r="C23" s="218"/>
      <c r="D23" s="593"/>
      <c r="E23" s="593"/>
      <c r="F23" s="593">
        <v>0</v>
      </c>
      <c r="G23" s="593">
        <v>0</v>
      </c>
      <c r="H23" s="593">
        <v>0</v>
      </c>
      <c r="I23" s="593">
        <v>0</v>
      </c>
      <c r="J23" s="593">
        <v>0</v>
      </c>
      <c r="K23" s="205"/>
      <c r="L23" s="219"/>
      <c r="M23" s="219"/>
      <c r="N23" s="220"/>
      <c r="O23" s="144"/>
    </row>
    <row r="24" spans="1:15" hidden="1">
      <c r="A24" s="216"/>
      <c r="B24" s="217">
        <v>15</v>
      </c>
      <c r="C24" s="218"/>
      <c r="D24" s="593"/>
      <c r="E24" s="593"/>
      <c r="F24" s="593">
        <v>0</v>
      </c>
      <c r="G24" s="593">
        <v>0</v>
      </c>
      <c r="H24" s="593">
        <v>0</v>
      </c>
      <c r="I24" s="593">
        <v>0</v>
      </c>
      <c r="J24" s="593">
        <v>0</v>
      </c>
      <c r="K24" s="205"/>
      <c r="L24" s="219"/>
      <c r="M24" s="219"/>
      <c r="N24" s="220"/>
      <c r="O24" s="144"/>
    </row>
    <row r="25" spans="1:15" hidden="1">
      <c r="A25" s="216"/>
      <c r="B25" s="217">
        <v>16</v>
      </c>
      <c r="C25" s="218"/>
      <c r="D25" s="593"/>
      <c r="E25" s="593"/>
      <c r="F25" s="593">
        <v>0</v>
      </c>
      <c r="G25" s="593">
        <v>0</v>
      </c>
      <c r="H25" s="593">
        <v>0</v>
      </c>
      <c r="I25" s="593">
        <v>0</v>
      </c>
      <c r="J25" s="593">
        <v>0</v>
      </c>
      <c r="K25" s="205"/>
      <c r="L25" s="219"/>
      <c r="M25" s="219"/>
      <c r="N25" s="220"/>
      <c r="O25" s="144"/>
    </row>
    <row r="26" spans="1:15" hidden="1">
      <c r="A26" s="216"/>
      <c r="B26" s="217">
        <v>17</v>
      </c>
      <c r="C26" s="218"/>
      <c r="D26" s="593"/>
      <c r="E26" s="593"/>
      <c r="F26" s="593">
        <v>0</v>
      </c>
      <c r="G26" s="593">
        <v>0</v>
      </c>
      <c r="H26" s="593">
        <v>0</v>
      </c>
      <c r="I26" s="593">
        <v>0</v>
      </c>
      <c r="J26" s="593">
        <v>0</v>
      </c>
      <c r="K26" s="205"/>
      <c r="L26" s="219"/>
      <c r="M26" s="219"/>
      <c r="N26" s="220"/>
      <c r="O26" s="144"/>
    </row>
    <row r="27" spans="1:15" hidden="1">
      <c r="A27" s="216"/>
      <c r="B27" s="217">
        <v>18</v>
      </c>
      <c r="C27" s="218"/>
      <c r="D27" s="593"/>
      <c r="E27" s="593"/>
      <c r="F27" s="593">
        <v>0</v>
      </c>
      <c r="G27" s="593">
        <v>0</v>
      </c>
      <c r="H27" s="593">
        <v>0</v>
      </c>
      <c r="I27" s="593">
        <v>0</v>
      </c>
      <c r="J27" s="593">
        <v>0</v>
      </c>
      <c r="K27" s="205"/>
      <c r="L27" s="219"/>
      <c r="M27" s="219"/>
      <c r="N27" s="220"/>
      <c r="O27" s="144"/>
    </row>
    <row r="28" spans="1:15" hidden="1">
      <c r="A28" s="216"/>
      <c r="B28" s="217">
        <v>19</v>
      </c>
      <c r="C28" s="218"/>
      <c r="D28" s="593"/>
      <c r="E28" s="593"/>
      <c r="F28" s="593">
        <v>0</v>
      </c>
      <c r="G28" s="593">
        <v>0</v>
      </c>
      <c r="H28" s="593">
        <v>0</v>
      </c>
      <c r="I28" s="593">
        <v>0</v>
      </c>
      <c r="J28" s="593">
        <v>0</v>
      </c>
      <c r="K28" s="205"/>
      <c r="L28" s="219"/>
      <c r="M28" s="219"/>
      <c r="N28" s="220"/>
      <c r="O28" s="144"/>
    </row>
    <row r="29" spans="1:15" hidden="1">
      <c r="A29" s="216"/>
      <c r="B29" s="217">
        <v>20</v>
      </c>
      <c r="C29" s="218"/>
      <c r="D29" s="593"/>
      <c r="E29" s="593"/>
      <c r="F29" s="593">
        <v>0</v>
      </c>
      <c r="G29" s="593">
        <v>0</v>
      </c>
      <c r="H29" s="593">
        <v>0</v>
      </c>
      <c r="I29" s="593">
        <v>0</v>
      </c>
      <c r="J29" s="593">
        <v>0</v>
      </c>
      <c r="K29" s="205"/>
      <c r="L29" s="219"/>
      <c r="M29" s="219"/>
      <c r="N29" s="220"/>
      <c r="O29" s="144"/>
    </row>
    <row r="30" spans="1:15" hidden="1">
      <c r="A30" s="216"/>
      <c r="B30" s="217">
        <v>21</v>
      </c>
      <c r="C30" s="218"/>
      <c r="D30" s="593"/>
      <c r="E30" s="593"/>
      <c r="F30" s="593">
        <v>0</v>
      </c>
      <c r="G30" s="593">
        <v>0</v>
      </c>
      <c r="H30" s="593">
        <v>0</v>
      </c>
      <c r="I30" s="593">
        <v>0</v>
      </c>
      <c r="J30" s="593">
        <v>0</v>
      </c>
      <c r="K30" s="205"/>
      <c r="L30" s="219"/>
      <c r="M30" s="219"/>
      <c r="N30" s="220"/>
      <c r="O30" s="144"/>
    </row>
    <row r="31" spans="1:15" hidden="1">
      <c r="A31" s="216"/>
      <c r="B31" s="217">
        <v>22</v>
      </c>
      <c r="C31" s="218"/>
      <c r="D31" s="593"/>
      <c r="E31" s="593"/>
      <c r="F31" s="593">
        <v>0</v>
      </c>
      <c r="G31" s="593">
        <v>0</v>
      </c>
      <c r="H31" s="593">
        <v>0</v>
      </c>
      <c r="I31" s="593">
        <v>0</v>
      </c>
      <c r="J31" s="593">
        <v>0</v>
      </c>
      <c r="K31" s="205"/>
      <c r="L31" s="219"/>
      <c r="M31" s="219"/>
      <c r="N31" s="220"/>
      <c r="O31" s="144"/>
    </row>
    <row r="32" spans="1:15" hidden="1">
      <c r="A32" s="216"/>
      <c r="B32" s="217">
        <v>23</v>
      </c>
      <c r="C32" s="218"/>
      <c r="D32" s="593"/>
      <c r="E32" s="593"/>
      <c r="F32" s="593">
        <v>0</v>
      </c>
      <c r="G32" s="593">
        <v>0</v>
      </c>
      <c r="H32" s="593">
        <v>0</v>
      </c>
      <c r="I32" s="593">
        <v>0</v>
      </c>
      <c r="J32" s="593">
        <v>0</v>
      </c>
      <c r="K32" s="205"/>
      <c r="L32" s="219"/>
      <c r="M32" s="219"/>
      <c r="N32" s="220"/>
      <c r="O32" s="144"/>
    </row>
    <row r="33" spans="1:15" hidden="1">
      <c r="A33" s="216"/>
      <c r="B33" s="217">
        <v>24</v>
      </c>
      <c r="C33" s="218"/>
      <c r="D33" s="593"/>
      <c r="E33" s="593"/>
      <c r="F33" s="593">
        <v>0</v>
      </c>
      <c r="G33" s="593">
        <v>0</v>
      </c>
      <c r="H33" s="593">
        <v>0</v>
      </c>
      <c r="I33" s="593">
        <v>0</v>
      </c>
      <c r="J33" s="593">
        <v>0</v>
      </c>
      <c r="K33" s="205"/>
      <c r="L33" s="219"/>
      <c r="M33" s="219"/>
      <c r="N33" s="220"/>
      <c r="O33" s="144"/>
    </row>
    <row r="34" spans="1:15" hidden="1">
      <c r="A34" s="216"/>
      <c r="B34" s="217">
        <v>25</v>
      </c>
      <c r="C34" s="218"/>
      <c r="D34" s="593"/>
      <c r="E34" s="593"/>
      <c r="F34" s="593">
        <v>0</v>
      </c>
      <c r="G34" s="593">
        <v>0</v>
      </c>
      <c r="H34" s="593">
        <v>0</v>
      </c>
      <c r="I34" s="593">
        <v>0</v>
      </c>
      <c r="J34" s="593">
        <v>0</v>
      </c>
      <c r="K34" s="205"/>
      <c r="L34" s="219"/>
      <c r="M34" s="219"/>
      <c r="N34" s="220"/>
      <c r="O34" s="144"/>
    </row>
    <row r="35" spans="1:15" hidden="1">
      <c r="A35" s="216"/>
      <c r="B35" s="217">
        <v>26</v>
      </c>
      <c r="C35" s="218"/>
      <c r="D35" s="593"/>
      <c r="E35" s="593"/>
      <c r="F35" s="593">
        <v>0</v>
      </c>
      <c r="G35" s="593">
        <v>0</v>
      </c>
      <c r="H35" s="593">
        <v>0</v>
      </c>
      <c r="I35" s="593">
        <v>0</v>
      </c>
      <c r="J35" s="593">
        <v>0</v>
      </c>
      <c r="K35" s="205"/>
      <c r="L35" s="219"/>
      <c r="M35" s="219"/>
      <c r="N35" s="220"/>
      <c r="O35" s="144"/>
    </row>
    <row r="36" spans="1:15" hidden="1">
      <c r="A36" s="216"/>
      <c r="B36" s="217">
        <v>27</v>
      </c>
      <c r="C36" s="218"/>
      <c r="D36" s="593"/>
      <c r="E36" s="593"/>
      <c r="F36" s="593">
        <v>0</v>
      </c>
      <c r="G36" s="593">
        <v>0</v>
      </c>
      <c r="H36" s="593">
        <v>0</v>
      </c>
      <c r="I36" s="593">
        <v>0</v>
      </c>
      <c r="J36" s="593">
        <v>0</v>
      </c>
      <c r="K36" s="205"/>
      <c r="L36" s="219"/>
      <c r="M36" s="219"/>
      <c r="N36" s="220"/>
      <c r="O36" s="144"/>
    </row>
    <row r="37" spans="1:15" hidden="1">
      <c r="A37" s="216"/>
      <c r="B37" s="217">
        <v>28</v>
      </c>
      <c r="C37" s="218"/>
      <c r="D37" s="593"/>
      <c r="E37" s="593"/>
      <c r="F37" s="593">
        <v>0</v>
      </c>
      <c r="G37" s="593">
        <v>0</v>
      </c>
      <c r="H37" s="593">
        <v>0</v>
      </c>
      <c r="I37" s="593">
        <v>0</v>
      </c>
      <c r="J37" s="593">
        <v>0</v>
      </c>
      <c r="K37" s="205"/>
      <c r="L37" s="219"/>
      <c r="M37" s="219"/>
      <c r="N37" s="220"/>
      <c r="O37" s="144"/>
    </row>
    <row r="38" spans="1:15" hidden="1">
      <c r="A38" s="216"/>
      <c r="B38" s="217">
        <v>29</v>
      </c>
      <c r="C38" s="218"/>
      <c r="D38" s="593"/>
      <c r="E38" s="593"/>
      <c r="F38" s="593">
        <v>0</v>
      </c>
      <c r="G38" s="593">
        <v>0</v>
      </c>
      <c r="H38" s="593">
        <v>0</v>
      </c>
      <c r="I38" s="593">
        <v>0</v>
      </c>
      <c r="J38" s="593">
        <v>0</v>
      </c>
      <c r="K38" s="205"/>
      <c r="L38" s="219"/>
      <c r="M38" s="219"/>
      <c r="N38" s="220"/>
      <c r="O38" s="144"/>
    </row>
    <row r="39" spans="1:15" hidden="1">
      <c r="A39" s="216"/>
      <c r="B39" s="217">
        <v>30</v>
      </c>
      <c r="C39" s="218"/>
      <c r="D39" s="593"/>
      <c r="E39" s="593"/>
      <c r="F39" s="593">
        <v>0</v>
      </c>
      <c r="G39" s="593">
        <v>0</v>
      </c>
      <c r="H39" s="593">
        <v>0</v>
      </c>
      <c r="I39" s="593">
        <v>0</v>
      </c>
      <c r="J39" s="593">
        <v>0</v>
      </c>
      <c r="K39" s="205"/>
      <c r="L39" s="219"/>
      <c r="M39" s="219"/>
      <c r="N39" s="220"/>
      <c r="O39" s="144"/>
    </row>
    <row r="40" spans="1:15" hidden="1">
      <c r="A40" s="216"/>
      <c r="B40" s="217">
        <v>31</v>
      </c>
      <c r="C40" s="218"/>
      <c r="D40" s="593"/>
      <c r="E40" s="593"/>
      <c r="F40" s="593">
        <v>0</v>
      </c>
      <c r="G40" s="593">
        <v>0</v>
      </c>
      <c r="H40" s="593">
        <v>0</v>
      </c>
      <c r="I40" s="593">
        <v>0</v>
      </c>
      <c r="J40" s="593">
        <v>0</v>
      </c>
      <c r="K40" s="205"/>
      <c r="L40" s="219"/>
      <c r="M40" s="219"/>
      <c r="N40" s="220"/>
      <c r="O40" s="144"/>
    </row>
    <row r="41" spans="1:15" hidden="1">
      <c r="A41" s="216"/>
      <c r="B41" s="217">
        <v>32</v>
      </c>
      <c r="C41" s="218"/>
      <c r="D41" s="593"/>
      <c r="E41" s="593"/>
      <c r="F41" s="593">
        <v>0</v>
      </c>
      <c r="G41" s="593">
        <v>0</v>
      </c>
      <c r="H41" s="593">
        <v>0</v>
      </c>
      <c r="I41" s="593">
        <v>0</v>
      </c>
      <c r="J41" s="593">
        <v>0</v>
      </c>
      <c r="K41" s="205"/>
      <c r="L41" s="219"/>
      <c r="M41" s="219"/>
      <c r="N41" s="220"/>
      <c r="O41" s="144"/>
    </row>
    <row r="42" spans="1:15" hidden="1">
      <c r="A42" s="216"/>
      <c r="B42" s="217">
        <v>33</v>
      </c>
      <c r="C42" s="218"/>
      <c r="D42" s="593"/>
      <c r="E42" s="593"/>
      <c r="F42" s="593">
        <v>0</v>
      </c>
      <c r="G42" s="593">
        <v>0</v>
      </c>
      <c r="H42" s="593">
        <v>0</v>
      </c>
      <c r="I42" s="593">
        <v>0</v>
      </c>
      <c r="J42" s="593">
        <v>0</v>
      </c>
      <c r="K42" s="205"/>
      <c r="L42" s="219"/>
      <c r="M42" s="219"/>
      <c r="N42" s="220"/>
      <c r="O42" s="144"/>
    </row>
    <row r="43" spans="1:15" hidden="1">
      <c r="A43" s="216"/>
      <c r="B43" s="217">
        <v>34</v>
      </c>
      <c r="C43" s="218"/>
      <c r="D43" s="593"/>
      <c r="E43" s="593"/>
      <c r="F43" s="593">
        <v>0</v>
      </c>
      <c r="G43" s="593">
        <v>0</v>
      </c>
      <c r="H43" s="593">
        <v>0</v>
      </c>
      <c r="I43" s="593">
        <v>0</v>
      </c>
      <c r="J43" s="593">
        <v>0</v>
      </c>
      <c r="K43" s="205"/>
      <c r="L43" s="219"/>
      <c r="M43" s="219"/>
      <c r="N43" s="220"/>
      <c r="O43" s="144"/>
    </row>
    <row r="44" spans="1:15" hidden="1">
      <c r="A44" s="216"/>
      <c r="B44" s="217">
        <v>35</v>
      </c>
      <c r="C44" s="218"/>
      <c r="D44" s="593"/>
      <c r="E44" s="593"/>
      <c r="F44" s="593">
        <v>0</v>
      </c>
      <c r="G44" s="593">
        <v>0</v>
      </c>
      <c r="H44" s="593">
        <v>0</v>
      </c>
      <c r="I44" s="593">
        <v>0</v>
      </c>
      <c r="J44" s="593">
        <v>0</v>
      </c>
      <c r="K44" s="205"/>
      <c r="L44" s="219"/>
      <c r="M44" s="219"/>
      <c r="N44" s="220"/>
      <c r="O44" s="144"/>
    </row>
    <row r="45" spans="1:15" hidden="1">
      <c r="A45" s="216"/>
      <c r="B45" s="217">
        <v>36</v>
      </c>
      <c r="C45" s="218"/>
      <c r="D45" s="593"/>
      <c r="E45" s="593"/>
      <c r="F45" s="593">
        <v>0</v>
      </c>
      <c r="G45" s="593">
        <v>0</v>
      </c>
      <c r="H45" s="593">
        <v>0</v>
      </c>
      <c r="I45" s="593">
        <v>0</v>
      </c>
      <c r="J45" s="593">
        <v>0</v>
      </c>
      <c r="K45" s="205"/>
      <c r="L45" s="219"/>
      <c r="M45" s="219"/>
      <c r="N45" s="220"/>
      <c r="O45" s="144"/>
    </row>
    <row r="46" spans="1:15" hidden="1">
      <c r="A46" s="216"/>
      <c r="B46" s="217">
        <v>37</v>
      </c>
      <c r="C46" s="218"/>
      <c r="D46" s="593"/>
      <c r="E46" s="593"/>
      <c r="F46" s="593">
        <v>0</v>
      </c>
      <c r="G46" s="593">
        <v>0</v>
      </c>
      <c r="H46" s="593">
        <v>0</v>
      </c>
      <c r="I46" s="593">
        <v>0</v>
      </c>
      <c r="J46" s="593">
        <v>0</v>
      </c>
      <c r="K46" s="205"/>
      <c r="L46" s="219"/>
      <c r="M46" s="219"/>
      <c r="N46" s="220"/>
      <c r="O46" s="144"/>
    </row>
    <row r="47" spans="1:15" hidden="1">
      <c r="A47" s="216"/>
      <c r="B47" s="217">
        <v>38</v>
      </c>
      <c r="C47" s="218"/>
      <c r="D47" s="593"/>
      <c r="E47" s="593"/>
      <c r="F47" s="593">
        <v>0</v>
      </c>
      <c r="G47" s="593">
        <v>0</v>
      </c>
      <c r="H47" s="593">
        <v>0</v>
      </c>
      <c r="I47" s="593">
        <v>0</v>
      </c>
      <c r="J47" s="593">
        <v>0</v>
      </c>
      <c r="K47" s="205"/>
      <c r="L47" s="219"/>
      <c r="M47" s="219"/>
      <c r="N47" s="220"/>
      <c r="O47" s="144"/>
    </row>
    <row r="48" spans="1:15" hidden="1">
      <c r="A48" s="216"/>
      <c r="B48" s="217">
        <v>39</v>
      </c>
      <c r="C48" s="218"/>
      <c r="D48" s="593"/>
      <c r="E48" s="593"/>
      <c r="F48" s="593">
        <v>0</v>
      </c>
      <c r="G48" s="593">
        <v>0</v>
      </c>
      <c r="H48" s="593">
        <v>0</v>
      </c>
      <c r="I48" s="593">
        <v>0</v>
      </c>
      <c r="J48" s="593">
        <v>0</v>
      </c>
      <c r="K48" s="205"/>
      <c r="L48" s="219"/>
      <c r="M48" s="219"/>
      <c r="N48" s="220"/>
      <c r="O48" s="144"/>
    </row>
    <row r="49" spans="1:16" hidden="1">
      <c r="A49" s="216"/>
      <c r="B49" s="217">
        <v>40</v>
      </c>
      <c r="C49" s="218"/>
      <c r="D49" s="593"/>
      <c r="E49" s="593"/>
      <c r="F49" s="593">
        <v>0</v>
      </c>
      <c r="G49" s="593">
        <v>0</v>
      </c>
      <c r="H49" s="593">
        <v>0</v>
      </c>
      <c r="I49" s="593">
        <v>0</v>
      </c>
      <c r="J49" s="593">
        <v>0</v>
      </c>
      <c r="K49" s="205"/>
      <c r="L49" s="219"/>
      <c r="M49" s="219"/>
      <c r="N49" s="220"/>
      <c r="O49" s="144"/>
    </row>
    <row r="50" spans="1:16" hidden="1">
      <c r="A50" s="216"/>
      <c r="B50" s="217">
        <v>41</v>
      </c>
      <c r="C50" s="218"/>
      <c r="D50" s="593"/>
      <c r="E50" s="593"/>
      <c r="F50" s="593">
        <v>0</v>
      </c>
      <c r="G50" s="593">
        <v>0</v>
      </c>
      <c r="H50" s="593">
        <v>0</v>
      </c>
      <c r="I50" s="593">
        <v>0</v>
      </c>
      <c r="J50" s="593">
        <v>0</v>
      </c>
      <c r="K50" s="205"/>
      <c r="L50" s="219"/>
      <c r="M50" s="219"/>
      <c r="N50" s="220"/>
      <c r="O50" s="144"/>
    </row>
    <row r="51" spans="1:16" hidden="1">
      <c r="A51" s="216"/>
      <c r="B51" s="217">
        <v>42</v>
      </c>
      <c r="C51" s="218"/>
      <c r="D51" s="593"/>
      <c r="E51" s="593"/>
      <c r="F51" s="593">
        <v>0</v>
      </c>
      <c r="G51" s="593">
        <v>0</v>
      </c>
      <c r="H51" s="593">
        <v>0</v>
      </c>
      <c r="I51" s="593">
        <v>0</v>
      </c>
      <c r="J51" s="593">
        <v>0</v>
      </c>
      <c r="K51" s="205"/>
      <c r="L51" s="219"/>
      <c r="M51" s="219"/>
      <c r="N51" s="220"/>
      <c r="O51" s="144"/>
    </row>
    <row r="52" spans="1:16" hidden="1">
      <c r="A52" s="216"/>
      <c r="B52" s="217">
        <v>43</v>
      </c>
      <c r="C52" s="218"/>
      <c r="D52" s="593"/>
      <c r="E52" s="593"/>
      <c r="F52" s="593">
        <v>0</v>
      </c>
      <c r="G52" s="593">
        <v>0</v>
      </c>
      <c r="H52" s="593">
        <v>0</v>
      </c>
      <c r="I52" s="593">
        <v>0</v>
      </c>
      <c r="J52" s="593">
        <v>0</v>
      </c>
      <c r="K52" s="205"/>
      <c r="L52" s="219"/>
      <c r="M52" s="219"/>
      <c r="N52" s="220"/>
      <c r="O52" s="144"/>
    </row>
    <row r="53" spans="1:16" hidden="1">
      <c r="A53" s="216"/>
      <c r="B53" s="217">
        <v>44</v>
      </c>
      <c r="C53" s="218"/>
      <c r="D53" s="593"/>
      <c r="E53" s="593"/>
      <c r="F53" s="593">
        <v>0</v>
      </c>
      <c r="G53" s="593">
        <v>0</v>
      </c>
      <c r="H53" s="593">
        <v>0</v>
      </c>
      <c r="I53" s="593">
        <v>0</v>
      </c>
      <c r="J53" s="593">
        <v>0</v>
      </c>
      <c r="K53" s="205"/>
      <c r="L53" s="219"/>
      <c r="M53" s="219"/>
      <c r="N53" s="220"/>
      <c r="O53" s="144"/>
    </row>
    <row r="54" spans="1:16" hidden="1">
      <c r="A54" s="216"/>
      <c r="B54" s="217">
        <v>45</v>
      </c>
      <c r="C54" s="218"/>
      <c r="D54" s="593"/>
      <c r="E54" s="593"/>
      <c r="F54" s="593">
        <v>0</v>
      </c>
      <c r="G54" s="593">
        <v>0</v>
      </c>
      <c r="H54" s="593">
        <v>0</v>
      </c>
      <c r="I54" s="593">
        <v>0</v>
      </c>
      <c r="J54" s="593">
        <v>0</v>
      </c>
      <c r="K54" s="205"/>
      <c r="L54" s="219"/>
      <c r="M54" s="219"/>
      <c r="N54" s="220"/>
      <c r="O54" s="144"/>
    </row>
    <row r="55" spans="1:16" hidden="1">
      <c r="A55" s="216"/>
      <c r="B55" s="217">
        <v>46</v>
      </c>
      <c r="C55" s="218"/>
      <c r="D55" s="593"/>
      <c r="E55" s="593"/>
      <c r="F55" s="593">
        <v>0</v>
      </c>
      <c r="G55" s="593">
        <v>0</v>
      </c>
      <c r="H55" s="593">
        <v>0</v>
      </c>
      <c r="I55" s="593">
        <v>0</v>
      </c>
      <c r="J55" s="593">
        <v>0</v>
      </c>
      <c r="K55" s="205"/>
      <c r="L55" s="219"/>
      <c r="M55" s="219"/>
      <c r="N55" s="220"/>
      <c r="O55" s="144"/>
    </row>
    <row r="56" spans="1:16" hidden="1">
      <c r="A56" s="216"/>
      <c r="B56" s="217">
        <v>47</v>
      </c>
      <c r="C56" s="218"/>
      <c r="D56" s="593"/>
      <c r="E56" s="593"/>
      <c r="F56" s="593">
        <v>0</v>
      </c>
      <c r="G56" s="593">
        <v>0</v>
      </c>
      <c r="H56" s="593">
        <v>0</v>
      </c>
      <c r="I56" s="593">
        <v>0</v>
      </c>
      <c r="J56" s="593">
        <v>0</v>
      </c>
      <c r="K56" s="205"/>
      <c r="L56" s="219"/>
      <c r="M56" s="219"/>
      <c r="N56" s="220"/>
      <c r="O56" s="144"/>
    </row>
    <row r="57" spans="1:16" hidden="1">
      <c r="A57" s="216"/>
      <c r="B57" s="217">
        <v>48</v>
      </c>
      <c r="C57" s="218"/>
      <c r="D57" s="593"/>
      <c r="E57" s="593"/>
      <c r="F57" s="593">
        <v>0</v>
      </c>
      <c r="G57" s="593">
        <v>0</v>
      </c>
      <c r="H57" s="593">
        <v>0</v>
      </c>
      <c r="I57" s="593">
        <v>0</v>
      </c>
      <c r="J57" s="593">
        <v>0</v>
      </c>
      <c r="K57" s="205"/>
      <c r="L57" s="219"/>
      <c r="M57" s="219"/>
      <c r="N57" s="220"/>
      <c r="O57" s="144"/>
    </row>
    <row r="58" spans="1:16" hidden="1">
      <c r="A58" s="216"/>
      <c r="B58" s="217">
        <v>49</v>
      </c>
      <c r="C58" s="218"/>
      <c r="D58" s="593"/>
      <c r="E58" s="593"/>
      <c r="F58" s="593">
        <v>0</v>
      </c>
      <c r="G58" s="593">
        <v>0</v>
      </c>
      <c r="H58" s="593">
        <v>0</v>
      </c>
      <c r="I58" s="593">
        <v>0</v>
      </c>
      <c r="J58" s="593">
        <v>0</v>
      </c>
      <c r="K58" s="205"/>
      <c r="L58" s="219"/>
      <c r="M58" s="219"/>
      <c r="N58" s="220"/>
      <c r="O58" s="144"/>
    </row>
    <row r="59" spans="1:16" ht="9.75" hidden="1" customHeight="1">
      <c r="A59" s="216"/>
      <c r="B59" s="217">
        <v>50</v>
      </c>
      <c r="C59" s="218"/>
      <c r="D59" s="593"/>
      <c r="E59" s="593"/>
      <c r="F59" s="593">
        <v>0</v>
      </c>
      <c r="G59" s="593">
        <v>0</v>
      </c>
      <c r="H59" s="593">
        <v>0</v>
      </c>
      <c r="I59" s="593">
        <v>0</v>
      </c>
      <c r="J59" s="593">
        <v>0</v>
      </c>
      <c r="K59" s="205"/>
      <c r="L59" s="219"/>
      <c r="M59" s="219"/>
      <c r="N59" s="220"/>
      <c r="O59" s="144"/>
    </row>
    <row r="60" spans="1:16" ht="28.5" customHeight="1">
      <c r="B60" s="654" t="s">
        <v>319</v>
      </c>
      <c r="C60" s="655"/>
      <c r="D60" s="593">
        <f>SUM(D10:D59)</f>
        <v>11299796</v>
      </c>
      <c r="E60" s="593">
        <f>SUM(E10:E59)</f>
        <v>11299796</v>
      </c>
      <c r="F60" s="593">
        <f>SUM(F10:F11)</f>
        <v>128883.80608000001</v>
      </c>
      <c r="G60" s="593">
        <f>SUM(G10:G11)</f>
        <v>369566</v>
      </c>
      <c r="H60" s="593">
        <f t="shared" ref="H60:J60" si="0">SUM(H10:H11)</f>
        <v>1157384.8825000001</v>
      </c>
      <c r="I60" s="593">
        <f t="shared" si="0"/>
        <v>1666722.3395</v>
      </c>
      <c r="J60" s="593">
        <f t="shared" si="0"/>
        <v>1642822.3883</v>
      </c>
      <c r="K60" s="604"/>
      <c r="L60" s="604"/>
      <c r="M60" s="604"/>
      <c r="N60" s="604"/>
      <c r="O60" s="144"/>
      <c r="P60" s="507"/>
    </row>
    <row r="61" spans="1:16" ht="30" customHeight="1">
      <c r="B61" s="654" t="s">
        <v>320</v>
      </c>
      <c r="C61" s="655"/>
      <c r="D61" s="593">
        <f>D63-D60</f>
        <v>40324320.650399998</v>
      </c>
      <c r="E61" s="593">
        <v>35825116.25</v>
      </c>
      <c r="F61" s="593">
        <v>173038.73572120001</v>
      </c>
      <c r="G61" s="593">
        <v>597480</v>
      </c>
      <c r="H61" s="593">
        <v>1764456.1144500005</v>
      </c>
      <c r="I61" s="593">
        <v>2866199.3882631175</v>
      </c>
      <c r="J61" s="593">
        <v>3638102.347784711</v>
      </c>
      <c r="K61" s="604"/>
      <c r="L61" s="219">
        <v>0.9</v>
      </c>
      <c r="M61" s="219">
        <v>0.1</v>
      </c>
      <c r="N61" s="604"/>
      <c r="O61" s="144"/>
      <c r="P61" s="507"/>
    </row>
    <row r="62" spans="1:16">
      <c r="B62" s="654" t="s">
        <v>321</v>
      </c>
      <c r="C62" s="655"/>
      <c r="D62" s="605"/>
      <c r="E62" s="605"/>
      <c r="F62" s="593">
        <v>2105306</v>
      </c>
      <c r="G62" s="593">
        <v>1447831</v>
      </c>
      <c r="H62" s="593">
        <v>1245060</v>
      </c>
      <c r="I62" s="593">
        <v>1132821</v>
      </c>
      <c r="J62" s="593">
        <v>1009880</v>
      </c>
      <c r="K62" s="604"/>
      <c r="L62" s="219">
        <v>0.9</v>
      </c>
      <c r="M62" s="219">
        <v>0.1</v>
      </c>
      <c r="N62" s="604"/>
      <c r="O62" s="144"/>
      <c r="P62" s="507"/>
    </row>
    <row r="63" spans="1:16" ht="30" customHeight="1">
      <c r="B63" s="654" t="s">
        <v>357</v>
      </c>
      <c r="C63" s="655"/>
      <c r="D63" s="593">
        <v>51624116.650399998</v>
      </c>
      <c r="E63" s="593">
        <f>SUM(E60:E62)</f>
        <v>47124912.25</v>
      </c>
      <c r="F63" s="593">
        <f>SUM(F60:F62)</f>
        <v>2407228.5418012002</v>
      </c>
      <c r="G63" s="593">
        <f>SUM(G60:G62)</f>
        <v>2414877</v>
      </c>
      <c r="H63" s="593">
        <f t="shared" ref="H63:J63" si="1">SUM(H60:H62)</f>
        <v>4166900.9969500005</v>
      </c>
      <c r="I63" s="593">
        <f t="shared" si="1"/>
        <v>5665742.7277631173</v>
      </c>
      <c r="J63" s="593">
        <f t="shared" si="1"/>
        <v>6290804.7360847108</v>
      </c>
      <c r="K63" s="604"/>
      <c r="L63" s="604"/>
      <c r="M63" s="604"/>
      <c r="N63" s="604"/>
      <c r="O63" s="144"/>
    </row>
    <row r="64" spans="1:16" ht="18.75" customHeight="1">
      <c r="B64" s="778" t="s">
        <v>994</v>
      </c>
      <c r="C64" s="778"/>
      <c r="D64" s="778"/>
      <c r="E64" s="778"/>
      <c r="F64" s="778"/>
      <c r="G64" s="778"/>
      <c r="H64" s="778"/>
      <c r="I64" s="778"/>
      <c r="J64" s="778"/>
      <c r="K64" s="778"/>
      <c r="L64" s="132"/>
      <c r="M64" s="132"/>
      <c r="N64" s="132"/>
    </row>
    <row r="65" spans="1:14" ht="18.75" customHeight="1">
      <c r="B65" s="851" t="s">
        <v>1920</v>
      </c>
      <c r="C65" s="851"/>
      <c r="D65" s="851"/>
      <c r="E65" s="851"/>
      <c r="F65" s="851"/>
      <c r="G65" s="851"/>
      <c r="H65" s="851"/>
      <c r="I65" s="851"/>
      <c r="J65" s="851"/>
      <c r="K65" s="851"/>
      <c r="L65" s="851"/>
      <c r="M65" s="851"/>
      <c r="N65" s="851"/>
    </row>
    <row r="66" spans="1:14" ht="23.25" customHeight="1">
      <c r="B66" s="32" t="s">
        <v>1010</v>
      </c>
      <c r="C66" s="32"/>
      <c r="D66" s="32"/>
      <c r="E66" s="32"/>
      <c r="F66" s="555"/>
      <c r="G66" s="555"/>
      <c r="H66" s="555"/>
      <c r="I66" s="555"/>
      <c r="J66" s="555"/>
      <c r="K66" s="555"/>
      <c r="L66" s="32"/>
      <c r="M66" s="32"/>
      <c r="N66" s="32"/>
    </row>
    <row r="67" spans="1:14" ht="65.45" customHeight="1">
      <c r="B67" s="842" t="s">
        <v>1921</v>
      </c>
      <c r="C67" s="842"/>
      <c r="D67" s="842"/>
      <c r="E67" s="842"/>
      <c r="F67" s="842"/>
      <c r="G67" s="842"/>
      <c r="H67" s="842"/>
      <c r="I67" s="842"/>
      <c r="J67" s="842"/>
      <c r="K67" s="842"/>
      <c r="M67" s="32"/>
    </row>
    <row r="69" spans="1:14" s="15" customFormat="1" ht="15" customHeight="1">
      <c r="A69" s="6" t="s">
        <v>693</v>
      </c>
      <c r="C69" s="798" t="s">
        <v>323</v>
      </c>
      <c r="D69" s="799"/>
      <c r="E69" s="846" t="s">
        <v>1820</v>
      </c>
      <c r="F69" s="847"/>
      <c r="G69" s="847"/>
      <c r="H69" s="847"/>
      <c r="I69" s="848"/>
      <c r="J69" s="654" t="s">
        <v>322</v>
      </c>
      <c r="K69" s="655"/>
      <c r="L69" s="831">
        <f>D10</f>
        <v>6075847</v>
      </c>
      <c r="M69" s="832"/>
      <c r="N69" s="222"/>
    </row>
    <row r="70" spans="1:14" ht="75.75" customHeight="1">
      <c r="C70" s="654" t="s">
        <v>995</v>
      </c>
      <c r="D70" s="655"/>
      <c r="E70" s="836" t="s">
        <v>1891</v>
      </c>
      <c r="F70" s="837"/>
      <c r="G70" s="837"/>
      <c r="H70" s="837"/>
      <c r="I70" s="837"/>
      <c r="J70" s="837"/>
      <c r="K70" s="837"/>
      <c r="L70" s="837"/>
      <c r="M70" s="838"/>
      <c r="N70" s="144"/>
    </row>
    <row r="71" spans="1:14" ht="98.25"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 Ref. to the Regulation and, if funded through Union assistance programmes, ref. to the relevant grant agreement.)</v>
      </c>
      <c r="D71" s="811"/>
      <c r="E71" s="398" t="s">
        <v>339</v>
      </c>
      <c r="F71" s="828" t="s">
        <v>1803</v>
      </c>
      <c r="G71" s="829"/>
      <c r="H71" s="829"/>
      <c r="I71" s="829"/>
      <c r="J71" s="829"/>
      <c r="K71" s="829"/>
      <c r="L71" s="829"/>
      <c r="M71" s="830"/>
      <c r="N71" s="144"/>
    </row>
    <row r="72" spans="1:14" ht="15"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customHeight="1">
      <c r="C73" s="826"/>
      <c r="D73" s="827"/>
      <c r="E73" s="411"/>
      <c r="F73" s="411"/>
      <c r="G73" s="411"/>
      <c r="H73" s="411"/>
      <c r="I73" s="411"/>
      <c r="J73" s="411" t="s">
        <v>1804</v>
      </c>
      <c r="K73" s="411" t="s">
        <v>1805</v>
      </c>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108"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43" t="s">
        <v>1848</v>
      </c>
      <c r="F81" s="844"/>
      <c r="G81" s="844"/>
      <c r="H81" s="844"/>
      <c r="I81" s="844"/>
      <c r="J81" s="844"/>
      <c r="K81" s="844"/>
      <c r="L81" s="844"/>
      <c r="M81" s="845"/>
      <c r="N81" s="144"/>
    </row>
    <row r="82" spans="1:14">
      <c r="C82" s="654" t="s">
        <v>996</v>
      </c>
      <c r="D82" s="655"/>
      <c r="E82" s="499" t="s">
        <v>1786</v>
      </c>
      <c r="F82" s="806"/>
      <c r="G82" s="807"/>
      <c r="H82" s="807"/>
      <c r="I82" s="807"/>
      <c r="J82" s="807"/>
      <c r="K82" s="807"/>
      <c r="L82" s="807"/>
      <c r="M82" s="807"/>
      <c r="N82" s="144"/>
    </row>
    <row r="83" spans="1:14">
      <c r="C83" s="654" t="s">
        <v>326</v>
      </c>
      <c r="D83" s="655"/>
      <c r="E83" s="499" t="s">
        <v>339</v>
      </c>
      <c r="F83" s="806"/>
      <c r="G83" s="807"/>
      <c r="H83" s="807"/>
      <c r="I83" s="807"/>
      <c r="J83" s="807"/>
      <c r="K83" s="807"/>
      <c r="L83" s="807"/>
      <c r="M83" s="807"/>
      <c r="N83" s="144"/>
    </row>
    <row r="84" spans="1:14">
      <c r="C84" s="804" t="s">
        <v>997</v>
      </c>
      <c r="D84" s="805"/>
      <c r="E84" s="499" t="s">
        <v>1787</v>
      </c>
      <c r="F84" s="806"/>
      <c r="G84" s="807"/>
      <c r="H84" s="807"/>
      <c r="I84" s="807"/>
      <c r="J84" s="807"/>
      <c r="K84" s="807"/>
      <c r="L84" s="807"/>
      <c r="M84" s="807"/>
      <c r="N84" s="144"/>
    </row>
    <row r="85" spans="1:14" ht="30" customHeight="1">
      <c r="C85" s="804" t="s">
        <v>327</v>
      </c>
      <c r="D85" s="805"/>
      <c r="E85" s="499" t="s">
        <v>1788</v>
      </c>
      <c r="F85" s="839" t="s">
        <v>1839</v>
      </c>
      <c r="G85" s="840"/>
      <c r="H85" s="840"/>
      <c r="I85" s="840"/>
      <c r="J85" s="840"/>
      <c r="K85" s="840"/>
      <c r="L85" s="840"/>
      <c r="M85" s="841"/>
      <c r="N85" s="181"/>
    </row>
    <row r="86" spans="1:14" ht="9" customHeight="1">
      <c r="C86" s="132"/>
      <c r="D86" s="132"/>
      <c r="E86" s="132"/>
      <c r="F86" s="132"/>
      <c r="G86" s="132"/>
      <c r="H86" s="132"/>
      <c r="I86" s="132"/>
      <c r="J86" s="132"/>
      <c r="K86" s="132"/>
      <c r="L86" s="132"/>
      <c r="M86" s="132"/>
    </row>
    <row r="87" spans="1:14">
      <c r="B87"/>
      <c r="C87"/>
      <c r="D87"/>
      <c r="E87"/>
      <c r="F87"/>
      <c r="G87"/>
      <c r="H87"/>
      <c r="I87"/>
      <c r="J87"/>
      <c r="K87"/>
      <c r="L87"/>
      <c r="M87"/>
    </row>
    <row r="88" spans="1:14" s="15" customFormat="1" ht="15" customHeight="1">
      <c r="A88" s="6" t="s">
        <v>693</v>
      </c>
      <c r="C88" s="798" t="s">
        <v>644</v>
      </c>
      <c r="D88" s="799"/>
      <c r="E88" s="800" t="str">
        <f>IF(C11="","",C11)</f>
        <v>NEW ATM SYSTEM - PHASE 2</v>
      </c>
      <c r="F88" s="801"/>
      <c r="G88" s="801"/>
      <c r="H88" s="801"/>
      <c r="I88" s="801"/>
      <c r="J88" s="654" t="s">
        <v>322</v>
      </c>
      <c r="K88" s="655"/>
      <c r="L88" s="831">
        <f>D11</f>
        <v>5223949</v>
      </c>
      <c r="M88" s="832"/>
      <c r="N88" s="222"/>
    </row>
    <row r="89" spans="1:14" ht="86.25" customHeight="1">
      <c r="C89" s="654" t="s">
        <v>995</v>
      </c>
      <c r="D89" s="655"/>
      <c r="E89" s="836" t="s">
        <v>1846</v>
      </c>
      <c r="F89" s="837"/>
      <c r="G89" s="837"/>
      <c r="H89" s="837"/>
      <c r="I89" s="837"/>
      <c r="J89" s="837"/>
      <c r="K89" s="837"/>
      <c r="L89" s="837"/>
      <c r="M89" s="838"/>
      <c r="N89" s="144"/>
    </row>
    <row r="90" spans="1:14" ht="96.75"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 Ref. to the Regulation and, if funded through Union assistance programmes, ref. to the relevant grant agreement.)</v>
      </c>
      <c r="D90" s="811"/>
      <c r="E90" s="398" t="s">
        <v>339</v>
      </c>
      <c r="F90" s="828" t="s">
        <v>1803</v>
      </c>
      <c r="G90" s="829"/>
      <c r="H90" s="829"/>
      <c r="I90" s="829"/>
      <c r="J90" s="829"/>
      <c r="K90" s="829"/>
      <c r="L90" s="829"/>
      <c r="M90" s="830"/>
      <c r="N90" s="144"/>
    </row>
    <row r="91" spans="1:14" ht="15"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customHeight="1">
      <c r="C92" s="826"/>
      <c r="D92" s="827"/>
      <c r="E92" s="411"/>
      <c r="F92" s="411"/>
      <c r="G92" s="411"/>
      <c r="H92" s="411"/>
      <c r="I92" s="411"/>
      <c r="J92" s="411" t="s">
        <v>1804</v>
      </c>
      <c r="K92" s="411" t="s">
        <v>1805</v>
      </c>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100.5"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43" t="s">
        <v>1848</v>
      </c>
      <c r="F100" s="844"/>
      <c r="G100" s="844"/>
      <c r="H100" s="844"/>
      <c r="I100" s="844"/>
      <c r="J100" s="844"/>
      <c r="K100" s="844"/>
      <c r="L100" s="844"/>
      <c r="M100" s="845"/>
      <c r="N100" s="144"/>
    </row>
    <row r="101" spans="1:14">
      <c r="C101" s="654" t="s">
        <v>996</v>
      </c>
      <c r="D101" s="655"/>
      <c r="E101" s="189" t="s">
        <v>1786</v>
      </c>
      <c r="F101" s="806"/>
      <c r="G101" s="807"/>
      <c r="H101" s="807"/>
      <c r="I101" s="807"/>
      <c r="J101" s="807"/>
      <c r="K101" s="807"/>
      <c r="L101" s="807"/>
      <c r="M101" s="807"/>
      <c r="N101" s="144"/>
    </row>
    <row r="102" spans="1:14">
      <c r="C102" s="654" t="s">
        <v>326</v>
      </c>
      <c r="D102" s="655"/>
      <c r="E102" s="189" t="s">
        <v>339</v>
      </c>
      <c r="F102" s="806"/>
      <c r="G102" s="807"/>
      <c r="H102" s="807"/>
      <c r="I102" s="807"/>
      <c r="J102" s="807"/>
      <c r="K102" s="807"/>
      <c r="L102" s="807"/>
      <c r="M102" s="807"/>
      <c r="N102" s="144"/>
    </row>
    <row r="103" spans="1:14" ht="15" customHeight="1">
      <c r="C103" s="804" t="s">
        <v>997</v>
      </c>
      <c r="D103" s="805"/>
      <c r="E103" s="189" t="s">
        <v>1787</v>
      </c>
      <c r="F103" s="806"/>
      <c r="G103" s="807"/>
      <c r="H103" s="807"/>
      <c r="I103" s="807"/>
      <c r="J103" s="807"/>
      <c r="K103" s="807"/>
      <c r="L103" s="807"/>
      <c r="M103" s="807"/>
      <c r="N103" s="144"/>
    </row>
    <row r="104" spans="1:14" ht="30" customHeight="1">
      <c r="C104" s="804" t="s">
        <v>327</v>
      </c>
      <c r="D104" s="805"/>
      <c r="E104" s="189" t="s">
        <v>1788</v>
      </c>
      <c r="F104" s="834" t="s">
        <v>1847</v>
      </c>
      <c r="G104" s="835"/>
      <c r="H104" s="835"/>
      <c r="I104" s="835"/>
      <c r="J104" s="835"/>
      <c r="K104" s="835"/>
      <c r="L104" s="835"/>
      <c r="M104" s="835"/>
      <c r="N104" s="181"/>
    </row>
    <row r="105" spans="1:14" ht="9" customHeight="1">
      <c r="C105" s="132"/>
      <c r="D105" s="132"/>
      <c r="E105" s="132"/>
      <c r="F105" s="132"/>
      <c r="G105" s="132"/>
      <c r="H105" s="132"/>
      <c r="I105" s="132"/>
      <c r="J105" s="132"/>
      <c r="K105" s="132"/>
      <c r="L105" s="132"/>
      <c r="M105" s="132"/>
    </row>
    <row r="106" spans="1:14">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8" spans="2:15" hidden="1"/>
    <row r="1019" spans="2:15" ht="17.25">
      <c r="B1019" s="32" t="s">
        <v>1011</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1664</v>
      </c>
      <c r="C1021" s="32"/>
      <c r="D1021" s="32"/>
      <c r="E1021" s="32"/>
      <c r="F1021" s="32"/>
      <c r="G1021" s="32"/>
      <c r="H1021" s="32"/>
      <c r="I1021" s="32"/>
      <c r="J1021" s="32"/>
      <c r="K1021" s="32"/>
      <c r="L1021" s="32"/>
      <c r="M1021" s="32"/>
      <c r="N1021" s="32"/>
    </row>
    <row r="1022" spans="2:15" ht="15" customHeight="1"/>
    <row r="1023" spans="2:15" ht="99.75" customHeight="1">
      <c r="B1023" s="787" t="s">
        <v>1897</v>
      </c>
      <c r="C1023" s="788"/>
      <c r="D1023" s="788"/>
      <c r="E1023" s="788"/>
      <c r="F1023" s="788"/>
      <c r="G1023" s="788"/>
      <c r="H1023" s="788"/>
      <c r="I1023" s="788"/>
      <c r="J1023" s="788"/>
      <c r="K1023" s="788"/>
      <c r="L1023" s="788"/>
      <c r="M1023" s="788"/>
      <c r="N1023" s="789"/>
      <c r="O1023" s="144"/>
    </row>
    <row r="1024" spans="2:15" ht="17.25">
      <c r="B1024" s="32"/>
      <c r="C1024" s="32"/>
      <c r="D1024" s="32"/>
      <c r="E1024" s="32"/>
      <c r="F1024" s="32"/>
      <c r="G1024" s="32"/>
      <c r="H1024" s="32"/>
      <c r="I1024" s="32"/>
      <c r="J1024" s="32"/>
      <c r="K1024" s="32"/>
      <c r="L1024" s="32"/>
      <c r="M1024" s="32"/>
      <c r="N1024" s="32"/>
    </row>
    <row r="1025" spans="2:14" ht="17.25">
      <c r="B1025" s="50" t="s">
        <v>1665</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794">
        <v>2</v>
      </c>
      <c r="E1027" s="794"/>
      <c r="F1027" s="794"/>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511">
        <v>2020</v>
      </c>
      <c r="G1030" s="511">
        <v>2021</v>
      </c>
      <c r="H1030" s="511">
        <v>2022</v>
      </c>
      <c r="I1030" s="511">
        <v>2023</v>
      </c>
      <c r="J1030" s="511">
        <v>2024</v>
      </c>
      <c r="K1030" s="795"/>
      <c r="L1030" s="796"/>
      <c r="M1030" s="796"/>
      <c r="N1030" s="797"/>
    </row>
    <row r="1031" spans="2:14" ht="57.75" customHeight="1">
      <c r="B1031" s="403">
        <v>1</v>
      </c>
      <c r="C1031" s="401" t="s">
        <v>1892</v>
      </c>
      <c r="D1031" s="593">
        <v>3133740</v>
      </c>
      <c r="E1031" s="593">
        <v>3133740</v>
      </c>
      <c r="F1031" s="594">
        <v>0</v>
      </c>
      <c r="G1031" s="594">
        <v>137205.40992000001</v>
      </c>
      <c r="H1031" s="594">
        <v>309456.82500000001</v>
      </c>
      <c r="I1031" s="594">
        <v>310318.60349999997</v>
      </c>
      <c r="J1031" s="594">
        <v>312982.28249999997</v>
      </c>
      <c r="K1031" s="790" t="s">
        <v>1834</v>
      </c>
      <c r="L1031" s="791"/>
      <c r="M1031" s="791"/>
      <c r="N1031" s="792"/>
    </row>
    <row r="1032" spans="2:14" ht="46.5" customHeight="1">
      <c r="B1032" s="403">
        <v>2</v>
      </c>
      <c r="C1032" s="401" t="s">
        <v>1822</v>
      </c>
      <c r="D1032" s="593">
        <v>4586527</v>
      </c>
      <c r="E1032" s="593">
        <v>4586527</v>
      </c>
      <c r="F1032" s="594">
        <v>0</v>
      </c>
      <c r="G1032" s="594">
        <v>14521.2624</v>
      </c>
      <c r="H1032" s="594">
        <v>229326.35</v>
      </c>
      <c r="I1032" s="594">
        <v>801208.93531249999</v>
      </c>
      <c r="J1032" s="594">
        <v>785729.40668749996</v>
      </c>
      <c r="K1032" s="790" t="s">
        <v>1835</v>
      </c>
      <c r="L1032" s="791"/>
      <c r="M1032" s="791"/>
      <c r="N1032" s="792"/>
    </row>
    <row r="1033" spans="2:14" hidden="1">
      <c r="B1033" s="403">
        <v>4</v>
      </c>
      <c r="C1033" s="401"/>
      <c r="D1033" s="205"/>
      <c r="E1033" s="205"/>
      <c r="F1033" s="402"/>
      <c r="G1033" s="402"/>
      <c r="H1033" s="402"/>
      <c r="I1033" s="402"/>
      <c r="J1033" s="402"/>
      <c r="K1033" s="790"/>
      <c r="L1033" s="791"/>
      <c r="M1033" s="791"/>
      <c r="N1033" s="792"/>
    </row>
    <row r="1034" spans="2:14" hidden="1">
      <c r="B1034" s="403">
        <v>5</v>
      </c>
      <c r="C1034" s="401"/>
      <c r="D1034" s="205"/>
      <c r="E1034" s="205"/>
      <c r="F1034" s="402"/>
      <c r="G1034" s="402"/>
      <c r="H1034" s="402"/>
      <c r="I1034" s="402"/>
      <c r="J1034" s="402"/>
      <c r="K1034" s="790"/>
      <c r="L1034" s="791"/>
      <c r="M1034" s="791"/>
      <c r="N1034" s="792"/>
    </row>
    <row r="1035" spans="2:14" hidden="1">
      <c r="B1035" s="403">
        <v>6</v>
      </c>
      <c r="C1035" s="401"/>
      <c r="D1035" s="205"/>
      <c r="E1035" s="205"/>
      <c r="F1035" s="402"/>
      <c r="G1035" s="402"/>
      <c r="H1035" s="402"/>
      <c r="I1035" s="402"/>
      <c r="J1035" s="402"/>
      <c r="K1035" s="790"/>
      <c r="L1035" s="791"/>
      <c r="M1035" s="791"/>
      <c r="N1035" s="792"/>
    </row>
    <row r="1036" spans="2:14" hidden="1">
      <c r="B1036" s="403">
        <v>7</v>
      </c>
      <c r="C1036" s="401"/>
      <c r="D1036" s="205"/>
      <c r="E1036" s="205"/>
      <c r="F1036" s="402"/>
      <c r="G1036" s="402"/>
      <c r="H1036" s="402"/>
      <c r="I1036" s="402"/>
      <c r="J1036" s="402"/>
      <c r="K1036" s="790"/>
      <c r="L1036" s="791"/>
      <c r="M1036" s="791"/>
      <c r="N1036" s="792"/>
    </row>
    <row r="1037" spans="2:14" hidden="1">
      <c r="B1037" s="403">
        <v>8</v>
      </c>
      <c r="C1037" s="401"/>
      <c r="D1037" s="205"/>
      <c r="E1037" s="205"/>
      <c r="F1037" s="402"/>
      <c r="G1037" s="402"/>
      <c r="H1037" s="402"/>
      <c r="I1037" s="402"/>
      <c r="J1037" s="402"/>
      <c r="K1037" s="790"/>
      <c r="L1037" s="791"/>
      <c r="M1037" s="791"/>
      <c r="N1037" s="792"/>
    </row>
    <row r="1038" spans="2:14" hidden="1">
      <c r="B1038" s="403">
        <v>9</v>
      </c>
      <c r="C1038" s="401"/>
      <c r="D1038" s="205"/>
      <c r="E1038" s="205"/>
      <c r="F1038" s="402"/>
      <c r="G1038" s="402"/>
      <c r="H1038" s="402"/>
      <c r="I1038" s="402"/>
      <c r="J1038" s="402"/>
      <c r="K1038" s="790"/>
      <c r="L1038" s="791"/>
      <c r="M1038" s="791"/>
      <c r="N1038" s="792"/>
    </row>
    <row r="1039" spans="2:14" hidden="1">
      <c r="B1039" s="403">
        <v>10</v>
      </c>
      <c r="C1039" s="401"/>
      <c r="D1039" s="205"/>
      <c r="E1039" s="205"/>
      <c r="F1039" s="402"/>
      <c r="G1039" s="402"/>
      <c r="H1039" s="402"/>
      <c r="I1039" s="402"/>
      <c r="J1039" s="402"/>
      <c r="K1039" s="790"/>
      <c r="L1039" s="791"/>
      <c r="M1039" s="791"/>
      <c r="N1039" s="792"/>
    </row>
    <row r="1040" spans="2:14" hidden="1">
      <c r="B1040" s="403">
        <v>11</v>
      </c>
      <c r="C1040" s="401"/>
      <c r="D1040" s="205"/>
      <c r="E1040" s="205"/>
      <c r="F1040" s="402"/>
      <c r="G1040" s="402"/>
      <c r="H1040" s="402"/>
      <c r="I1040" s="402"/>
      <c r="J1040" s="402"/>
      <c r="K1040" s="790"/>
      <c r="L1040" s="791"/>
      <c r="M1040" s="791"/>
      <c r="N1040" s="792"/>
    </row>
    <row r="1041" spans="2:14" hidden="1">
      <c r="B1041" s="403">
        <v>12</v>
      </c>
      <c r="C1041" s="401"/>
      <c r="D1041" s="205"/>
      <c r="E1041" s="205"/>
      <c r="F1041" s="402"/>
      <c r="G1041" s="402"/>
      <c r="H1041" s="402"/>
      <c r="I1041" s="402"/>
      <c r="J1041" s="402"/>
      <c r="K1041" s="790"/>
      <c r="L1041" s="791"/>
      <c r="M1041" s="791"/>
      <c r="N1041" s="792"/>
    </row>
    <row r="1042" spans="2:14" hidden="1">
      <c r="B1042" s="403">
        <v>13</v>
      </c>
      <c r="C1042" s="401"/>
      <c r="D1042" s="205"/>
      <c r="E1042" s="205"/>
      <c r="F1042" s="402"/>
      <c r="G1042" s="402"/>
      <c r="H1042" s="402"/>
      <c r="I1042" s="402"/>
      <c r="J1042" s="402"/>
      <c r="K1042" s="790"/>
      <c r="L1042" s="791"/>
      <c r="M1042" s="791"/>
      <c r="N1042" s="792"/>
    </row>
    <row r="1043" spans="2:14" hidden="1">
      <c r="B1043" s="403">
        <v>14</v>
      </c>
      <c r="C1043" s="401"/>
      <c r="D1043" s="205"/>
      <c r="E1043" s="205"/>
      <c r="F1043" s="402"/>
      <c r="G1043" s="402"/>
      <c r="H1043" s="402"/>
      <c r="I1043" s="402"/>
      <c r="J1043" s="402"/>
      <c r="K1043" s="790"/>
      <c r="L1043" s="791"/>
      <c r="M1043" s="791"/>
      <c r="N1043" s="792"/>
    </row>
    <row r="1044" spans="2:14" hidden="1">
      <c r="B1044" s="403">
        <v>15</v>
      </c>
      <c r="C1044" s="401"/>
      <c r="D1044" s="205"/>
      <c r="E1044" s="205"/>
      <c r="F1044" s="402"/>
      <c r="G1044" s="402"/>
      <c r="H1044" s="402"/>
      <c r="I1044" s="402"/>
      <c r="J1044" s="402"/>
      <c r="K1044" s="790"/>
      <c r="L1044" s="791"/>
      <c r="M1044" s="791"/>
      <c r="N1044" s="792"/>
    </row>
    <row r="1045" spans="2:14" hidden="1">
      <c r="B1045" s="403">
        <v>16</v>
      </c>
      <c r="C1045" s="401"/>
      <c r="D1045" s="205"/>
      <c r="E1045" s="205"/>
      <c r="F1045" s="402"/>
      <c r="G1045" s="402"/>
      <c r="H1045" s="402"/>
      <c r="I1045" s="402"/>
      <c r="J1045" s="402"/>
      <c r="K1045" s="790"/>
      <c r="L1045" s="791"/>
      <c r="M1045" s="791"/>
      <c r="N1045" s="792"/>
    </row>
    <row r="1046" spans="2:14" hidden="1">
      <c r="B1046" s="403">
        <v>17</v>
      </c>
      <c r="C1046" s="401"/>
      <c r="D1046" s="205"/>
      <c r="E1046" s="205"/>
      <c r="F1046" s="402"/>
      <c r="G1046" s="402"/>
      <c r="H1046" s="402"/>
      <c r="I1046" s="402"/>
      <c r="J1046" s="402"/>
      <c r="K1046" s="790"/>
      <c r="L1046" s="791"/>
      <c r="M1046" s="791"/>
      <c r="N1046" s="792"/>
    </row>
    <row r="1047" spans="2:14" hidden="1">
      <c r="B1047" s="403">
        <v>18</v>
      </c>
      <c r="C1047" s="401"/>
      <c r="D1047" s="205"/>
      <c r="E1047" s="205"/>
      <c r="F1047" s="402"/>
      <c r="G1047" s="402"/>
      <c r="H1047" s="402"/>
      <c r="I1047" s="402"/>
      <c r="J1047" s="402"/>
      <c r="K1047" s="790"/>
      <c r="L1047" s="791"/>
      <c r="M1047" s="791"/>
      <c r="N1047" s="792"/>
    </row>
    <row r="1048" spans="2:14" hidden="1">
      <c r="B1048" s="403">
        <v>19</v>
      </c>
      <c r="C1048" s="401"/>
      <c r="D1048" s="205"/>
      <c r="E1048" s="205"/>
      <c r="F1048" s="402"/>
      <c r="G1048" s="402"/>
      <c r="H1048" s="402"/>
      <c r="I1048" s="402"/>
      <c r="J1048" s="402"/>
      <c r="K1048" s="790"/>
      <c r="L1048" s="791"/>
      <c r="M1048" s="791"/>
      <c r="N1048" s="792"/>
    </row>
    <row r="1049" spans="2:14" hidden="1">
      <c r="B1049" s="403">
        <v>20</v>
      </c>
      <c r="C1049" s="401"/>
      <c r="D1049" s="404"/>
      <c r="E1049" s="402"/>
      <c r="F1049" s="402"/>
      <c r="G1049" s="402"/>
      <c r="H1049" s="402"/>
      <c r="I1049" s="402"/>
      <c r="J1049" s="402"/>
      <c r="K1049" s="790"/>
      <c r="L1049" s="791"/>
      <c r="M1049" s="791"/>
      <c r="N1049" s="792"/>
    </row>
    <row r="1050" spans="2:14" ht="15" hidden="1" customHeight="1">
      <c r="B1050" s="132"/>
      <c r="C1050" s="132"/>
      <c r="D1050" s="132"/>
      <c r="E1050" s="132"/>
      <c r="F1050" s="132"/>
      <c r="G1050" s="508"/>
      <c r="H1050" s="508"/>
      <c r="I1050" s="508"/>
      <c r="J1050" s="508"/>
      <c r="K1050" s="132"/>
      <c r="L1050" s="132"/>
      <c r="M1050" s="132"/>
      <c r="N1050" s="132"/>
    </row>
    <row r="1051" spans="2:14" ht="38.25" customHeight="1">
      <c r="B1051" s="785" t="s">
        <v>1914</v>
      </c>
      <c r="C1051" s="786"/>
      <c r="D1051" s="786"/>
      <c r="E1051" s="786"/>
      <c r="F1051" s="786"/>
      <c r="G1051" s="786"/>
      <c r="H1051" s="786"/>
      <c r="I1051" s="786"/>
      <c r="J1051" s="786"/>
      <c r="K1051" s="786"/>
      <c r="L1051" s="786"/>
      <c r="M1051" s="786"/>
      <c r="N1051" s="786"/>
    </row>
  </sheetData>
  <sheetProtection formatCells="0" formatColumns="0" formatRows="0" insertHyperlinks="0"/>
  <dataConsolidate/>
  <mergeCells count="1546">
    <mergeCell ref="B65:N65"/>
    <mergeCell ref="C984:D985"/>
    <mergeCell ref="L984:M984"/>
    <mergeCell ref="L985:M985"/>
    <mergeCell ref="C1003:D1004"/>
    <mergeCell ref="L1003:M1003"/>
    <mergeCell ref="L1004:M1004"/>
    <mergeCell ref="D1029:D1030"/>
    <mergeCell ref="E1029:E1030"/>
    <mergeCell ref="C794:D795"/>
    <mergeCell ref="L794:M794"/>
    <mergeCell ref="L795:M795"/>
    <mergeCell ref="C813:D814"/>
    <mergeCell ref="L813:M813"/>
    <mergeCell ref="L814:M814"/>
    <mergeCell ref="C832:D833"/>
    <mergeCell ref="L832:M832"/>
    <mergeCell ref="L833:M833"/>
    <mergeCell ref="C851:D852"/>
    <mergeCell ref="L851:M851"/>
    <mergeCell ref="L852:M852"/>
    <mergeCell ref="C870:D871"/>
    <mergeCell ref="L870:M870"/>
    <mergeCell ref="L871:M871"/>
    <mergeCell ref="C889:D890"/>
    <mergeCell ref="L889:M889"/>
    <mergeCell ref="L890:M890"/>
    <mergeCell ref="F983:M983"/>
    <mergeCell ref="C986:D988"/>
    <mergeCell ref="F986:M986"/>
    <mergeCell ref="F987:M987"/>
    <mergeCell ref="F988:M988"/>
    <mergeCell ref="C989:D992"/>
    <mergeCell ref="C775:D776"/>
    <mergeCell ref="L775:M775"/>
    <mergeCell ref="L776:M776"/>
    <mergeCell ref="F724:M724"/>
    <mergeCell ref="F725:M725"/>
    <mergeCell ref="F726:M726"/>
    <mergeCell ref="C709:D709"/>
    <mergeCell ref="C729:D729"/>
    <mergeCell ref="F729:M729"/>
    <mergeCell ref="C717:D717"/>
    <mergeCell ref="F717:M717"/>
    <mergeCell ref="C720:D722"/>
    <mergeCell ref="F720:M720"/>
    <mergeCell ref="F721:M721"/>
    <mergeCell ref="F722:M722"/>
    <mergeCell ref="C723:D726"/>
    <mergeCell ref="F723:M723"/>
    <mergeCell ref="C774:D774"/>
    <mergeCell ref="F774:M774"/>
    <mergeCell ref="F709:M709"/>
    <mergeCell ref="C710:D710"/>
    <mergeCell ref="F710:M710"/>
    <mergeCell ref="C768:D768"/>
    <mergeCell ref="F768:M768"/>
    <mergeCell ref="C769:D769"/>
    <mergeCell ref="F769:M769"/>
    <mergeCell ref="C766:D766"/>
    <mergeCell ref="F766:M766"/>
    <mergeCell ref="C767:D767"/>
    <mergeCell ref="F767:M767"/>
    <mergeCell ref="C772:D772"/>
    <mergeCell ref="E772:I772"/>
    <mergeCell ref="L547:M547"/>
    <mergeCell ref="L548:M548"/>
    <mergeCell ref="C566:D567"/>
    <mergeCell ref="L566:M566"/>
    <mergeCell ref="L567:M567"/>
    <mergeCell ref="C585:D586"/>
    <mergeCell ref="L585:M585"/>
    <mergeCell ref="L586:M586"/>
    <mergeCell ref="C604:D605"/>
    <mergeCell ref="L604:M604"/>
    <mergeCell ref="L605:M605"/>
    <mergeCell ref="C623:D624"/>
    <mergeCell ref="L623:M623"/>
    <mergeCell ref="L624:M624"/>
    <mergeCell ref="C642:D643"/>
    <mergeCell ref="L642:M642"/>
    <mergeCell ref="L643:M643"/>
    <mergeCell ref="C613:D613"/>
    <mergeCell ref="E613:M613"/>
    <mergeCell ref="C620:D620"/>
    <mergeCell ref="E620:I620"/>
    <mergeCell ref="E594:M594"/>
    <mergeCell ref="C603:D603"/>
    <mergeCell ref="F603:M603"/>
    <mergeCell ref="C606:D608"/>
    <mergeCell ref="F606:M606"/>
    <mergeCell ref="F607:M607"/>
    <mergeCell ref="F608:M608"/>
    <mergeCell ref="C609:D612"/>
    <mergeCell ref="F609:M609"/>
    <mergeCell ref="F610:M610"/>
    <mergeCell ref="F611:M611"/>
    <mergeCell ref="C395:D396"/>
    <mergeCell ref="L395:M395"/>
    <mergeCell ref="L396:M396"/>
    <mergeCell ref="C414:D415"/>
    <mergeCell ref="L414:M414"/>
    <mergeCell ref="L415:M415"/>
    <mergeCell ref="C433:D434"/>
    <mergeCell ref="L433:M433"/>
    <mergeCell ref="L434:M434"/>
    <mergeCell ref="C452:D453"/>
    <mergeCell ref="L452:M452"/>
    <mergeCell ref="L453:M453"/>
    <mergeCell ref="C471:D472"/>
    <mergeCell ref="L471:M471"/>
    <mergeCell ref="L472:M472"/>
    <mergeCell ref="C490:D491"/>
    <mergeCell ref="L490:M490"/>
    <mergeCell ref="L491:M491"/>
    <mergeCell ref="C469:D469"/>
    <mergeCell ref="F459:M459"/>
    <mergeCell ref="F460:M460"/>
    <mergeCell ref="C464:D464"/>
    <mergeCell ref="F464:M464"/>
    <mergeCell ref="C465:D465"/>
    <mergeCell ref="F465:M465"/>
    <mergeCell ref="C462:D462"/>
    <mergeCell ref="F462:M462"/>
    <mergeCell ref="C463:D463"/>
    <mergeCell ref="F463:M463"/>
    <mergeCell ref="C450:D450"/>
    <mergeCell ref="E450:M450"/>
    <mergeCell ref="C461:D461"/>
    <mergeCell ref="C262:D263"/>
    <mergeCell ref="L262:M262"/>
    <mergeCell ref="L263:M263"/>
    <mergeCell ref="C281:D282"/>
    <mergeCell ref="L281:M281"/>
    <mergeCell ref="L282:M282"/>
    <mergeCell ref="C300:D301"/>
    <mergeCell ref="L300:M300"/>
    <mergeCell ref="L301:M301"/>
    <mergeCell ref="C319:D320"/>
    <mergeCell ref="L319:M319"/>
    <mergeCell ref="L320:M320"/>
    <mergeCell ref="C338:D339"/>
    <mergeCell ref="L338:M338"/>
    <mergeCell ref="L339:M339"/>
    <mergeCell ref="C357:D358"/>
    <mergeCell ref="L357:M357"/>
    <mergeCell ref="L358:M358"/>
    <mergeCell ref="F304:M304"/>
    <mergeCell ref="C305:D308"/>
    <mergeCell ref="F305:M305"/>
    <mergeCell ref="F306:M306"/>
    <mergeCell ref="F307:M307"/>
    <mergeCell ref="F308:M308"/>
    <mergeCell ref="C293:D293"/>
    <mergeCell ref="F293:M293"/>
    <mergeCell ref="C294:D294"/>
    <mergeCell ref="F294:M294"/>
    <mergeCell ref="C291:D291"/>
    <mergeCell ref="F291:M291"/>
    <mergeCell ref="C292:D292"/>
    <mergeCell ref="F292:M292"/>
    <mergeCell ref="C129:D130"/>
    <mergeCell ref="L129:M129"/>
    <mergeCell ref="L130:M130"/>
    <mergeCell ref="C148:D149"/>
    <mergeCell ref="L148:M148"/>
    <mergeCell ref="L149:M149"/>
    <mergeCell ref="C167:D168"/>
    <mergeCell ref="L167:M167"/>
    <mergeCell ref="L168:M168"/>
    <mergeCell ref="C186:D187"/>
    <mergeCell ref="L186:M186"/>
    <mergeCell ref="L187:M187"/>
    <mergeCell ref="C205:D206"/>
    <mergeCell ref="L205:M205"/>
    <mergeCell ref="L206:M206"/>
    <mergeCell ref="C224:D225"/>
    <mergeCell ref="L224:M224"/>
    <mergeCell ref="L225:M225"/>
    <mergeCell ref="C166:D166"/>
    <mergeCell ref="F166:M166"/>
    <mergeCell ref="C169:D171"/>
    <mergeCell ref="F169:M169"/>
    <mergeCell ref="F170:M170"/>
    <mergeCell ref="F171:M171"/>
    <mergeCell ref="C172:D175"/>
    <mergeCell ref="F172:M172"/>
    <mergeCell ref="F173:M173"/>
    <mergeCell ref="F174:M174"/>
    <mergeCell ref="F175:M175"/>
    <mergeCell ref="C138:D138"/>
    <mergeCell ref="E138:M138"/>
    <mergeCell ref="C918:D918"/>
    <mergeCell ref="F918:M918"/>
    <mergeCell ref="C919:D919"/>
    <mergeCell ref="F919:M919"/>
    <mergeCell ref="C927:D928"/>
    <mergeCell ref="L927:M927"/>
    <mergeCell ref="C147:D147"/>
    <mergeCell ref="F989:M989"/>
    <mergeCell ref="F990:M990"/>
    <mergeCell ref="F991:M991"/>
    <mergeCell ref="F992:M992"/>
    <mergeCell ref="E936:M936"/>
    <mergeCell ref="C945:D945"/>
    <mergeCell ref="F945:M945"/>
    <mergeCell ref="C948:D950"/>
    <mergeCell ref="F948:M948"/>
    <mergeCell ref="F949:M949"/>
    <mergeCell ref="F950:M950"/>
    <mergeCell ref="C951:D954"/>
    <mergeCell ref="F951:M951"/>
    <mergeCell ref="F952:M952"/>
    <mergeCell ref="F953:M953"/>
    <mergeCell ref="F954:M954"/>
    <mergeCell ref="C936:D936"/>
    <mergeCell ref="C943:D943"/>
    <mergeCell ref="E943:I943"/>
    <mergeCell ref="J943:K943"/>
    <mergeCell ref="L943:M943"/>
    <mergeCell ref="C939:D939"/>
    <mergeCell ref="F939:M939"/>
    <mergeCell ref="C940:D940"/>
    <mergeCell ref="F940:M940"/>
    <mergeCell ref="F876:M876"/>
    <mergeCell ref="F877:M877"/>
    <mergeCell ref="F878:M878"/>
    <mergeCell ref="C901:D901"/>
    <mergeCell ref="F901:M901"/>
    <mergeCell ref="C902:D902"/>
    <mergeCell ref="F902:M902"/>
    <mergeCell ref="C899:D899"/>
    <mergeCell ref="F899:M899"/>
    <mergeCell ref="C900:D900"/>
    <mergeCell ref="F900:M900"/>
    <mergeCell ref="C887:D887"/>
    <mergeCell ref="E887:M887"/>
    <mergeCell ref="C888:D888"/>
    <mergeCell ref="F888:M888"/>
    <mergeCell ref="C891:D893"/>
    <mergeCell ref="F891:M891"/>
    <mergeCell ref="F892:M892"/>
    <mergeCell ref="F893:M893"/>
    <mergeCell ref="C894:D897"/>
    <mergeCell ref="F894:M894"/>
    <mergeCell ref="F895:M895"/>
    <mergeCell ref="F896:M896"/>
    <mergeCell ref="F897:M897"/>
    <mergeCell ref="C898:D898"/>
    <mergeCell ref="C777:D779"/>
    <mergeCell ref="F777:M777"/>
    <mergeCell ref="C831:D831"/>
    <mergeCell ref="F831:M831"/>
    <mergeCell ref="C834:D836"/>
    <mergeCell ref="F834:M834"/>
    <mergeCell ref="F835:M835"/>
    <mergeCell ref="F836:M836"/>
    <mergeCell ref="C837:D840"/>
    <mergeCell ref="F837:M837"/>
    <mergeCell ref="F838:M838"/>
    <mergeCell ref="F839:M839"/>
    <mergeCell ref="F840:M840"/>
    <mergeCell ref="C784:D784"/>
    <mergeCell ref="E784:M784"/>
    <mergeCell ref="C793:D793"/>
    <mergeCell ref="F793:M793"/>
    <mergeCell ref="C796:D798"/>
    <mergeCell ref="F796:M796"/>
    <mergeCell ref="F797:M797"/>
    <mergeCell ref="F798:M798"/>
    <mergeCell ref="C799:D802"/>
    <mergeCell ref="F799:M799"/>
    <mergeCell ref="F800:M800"/>
    <mergeCell ref="F801:M801"/>
    <mergeCell ref="F802:M802"/>
    <mergeCell ref="C812:D812"/>
    <mergeCell ref="F812:M812"/>
    <mergeCell ref="C815:D817"/>
    <mergeCell ref="F815:M815"/>
    <mergeCell ref="C811:D811"/>
    <mergeCell ref="E811:M811"/>
    <mergeCell ref="C678:D678"/>
    <mergeCell ref="E678:M678"/>
    <mergeCell ref="C689:D689"/>
    <mergeCell ref="E689:M689"/>
    <mergeCell ref="F780:M780"/>
    <mergeCell ref="F781:M781"/>
    <mergeCell ref="F782:M782"/>
    <mergeCell ref="F783:M783"/>
    <mergeCell ref="E746:M746"/>
    <mergeCell ref="C755:D755"/>
    <mergeCell ref="F755:M755"/>
    <mergeCell ref="C758:D760"/>
    <mergeCell ref="F758:M758"/>
    <mergeCell ref="F759:M759"/>
    <mergeCell ref="F760:M760"/>
    <mergeCell ref="C761:D764"/>
    <mergeCell ref="F761:M761"/>
    <mergeCell ref="F762:M762"/>
    <mergeCell ref="F763:M763"/>
    <mergeCell ref="F764:M764"/>
    <mergeCell ref="C749:D749"/>
    <mergeCell ref="F749:M749"/>
    <mergeCell ref="C750:D750"/>
    <mergeCell ref="F750:M750"/>
    <mergeCell ref="C747:D747"/>
    <mergeCell ref="F747:M747"/>
    <mergeCell ref="C748:D748"/>
    <mergeCell ref="F748:M748"/>
    <mergeCell ref="J772:K772"/>
    <mergeCell ref="L772:M772"/>
    <mergeCell ref="C765:D765"/>
    <mergeCell ref="E765:M765"/>
    <mergeCell ref="C679:D679"/>
    <mergeCell ref="F679:M679"/>
    <mergeCell ref="C682:D684"/>
    <mergeCell ref="F682:M682"/>
    <mergeCell ref="F683:M683"/>
    <mergeCell ref="F684:M684"/>
    <mergeCell ref="C685:D688"/>
    <mergeCell ref="F685:M685"/>
    <mergeCell ref="F686:M686"/>
    <mergeCell ref="F687:M687"/>
    <mergeCell ref="F688:M688"/>
    <mergeCell ref="C692:D692"/>
    <mergeCell ref="F692:M692"/>
    <mergeCell ref="C693:D693"/>
    <mergeCell ref="F693:M693"/>
    <mergeCell ref="C690:D690"/>
    <mergeCell ref="F690:M690"/>
    <mergeCell ref="C691:D691"/>
    <mergeCell ref="F691:M691"/>
    <mergeCell ref="C680:D681"/>
    <mergeCell ref="L680:M680"/>
    <mergeCell ref="L681:M681"/>
    <mergeCell ref="F612:M612"/>
    <mergeCell ref="C595:D595"/>
    <mergeCell ref="F595:M595"/>
    <mergeCell ref="C596:D596"/>
    <mergeCell ref="F596:M596"/>
    <mergeCell ref="C594:D594"/>
    <mergeCell ref="C602:D602"/>
    <mergeCell ref="E602:M602"/>
    <mergeCell ref="C601:D601"/>
    <mergeCell ref="E601:I601"/>
    <mergeCell ref="J601:K601"/>
    <mergeCell ref="L601:M601"/>
    <mergeCell ref="C597:D597"/>
    <mergeCell ref="F597:M597"/>
    <mergeCell ref="C598:D598"/>
    <mergeCell ref="F598:M598"/>
    <mergeCell ref="F481:M481"/>
    <mergeCell ref="C482:D482"/>
    <mergeCell ref="F482:M482"/>
    <mergeCell ref="C571:D574"/>
    <mergeCell ref="F571:M571"/>
    <mergeCell ref="F572:M572"/>
    <mergeCell ref="F573:M573"/>
    <mergeCell ref="F574:M574"/>
    <mergeCell ref="E518:M518"/>
    <mergeCell ref="C527:D527"/>
    <mergeCell ref="F527:M527"/>
    <mergeCell ref="C530:D532"/>
    <mergeCell ref="F530:M530"/>
    <mergeCell ref="F531:M531"/>
    <mergeCell ref="F532:M532"/>
    <mergeCell ref="C533:D536"/>
    <mergeCell ref="F533:M533"/>
    <mergeCell ref="F534:M534"/>
    <mergeCell ref="F535:M535"/>
    <mergeCell ref="F536:M536"/>
    <mergeCell ref="C521:D521"/>
    <mergeCell ref="F521:M521"/>
    <mergeCell ref="C522:D522"/>
    <mergeCell ref="F522:M522"/>
    <mergeCell ref="C519:D519"/>
    <mergeCell ref="F519:M519"/>
    <mergeCell ref="C520:D520"/>
    <mergeCell ref="F520:M520"/>
    <mergeCell ref="C545:D545"/>
    <mergeCell ref="E545:M545"/>
    <mergeCell ref="C544:D544"/>
    <mergeCell ref="C385:D385"/>
    <mergeCell ref="E385:M385"/>
    <mergeCell ref="C392:D392"/>
    <mergeCell ref="E392:I392"/>
    <mergeCell ref="F496:M496"/>
    <mergeCell ref="F497:M497"/>
    <mergeCell ref="F498:M498"/>
    <mergeCell ref="E442:M442"/>
    <mergeCell ref="C451:D451"/>
    <mergeCell ref="F451:M451"/>
    <mergeCell ref="C454:D456"/>
    <mergeCell ref="F454:M454"/>
    <mergeCell ref="F455:M455"/>
    <mergeCell ref="F456:M456"/>
    <mergeCell ref="C457:D460"/>
    <mergeCell ref="F457:M457"/>
    <mergeCell ref="F458:M458"/>
    <mergeCell ref="E461:M461"/>
    <mergeCell ref="C481:D481"/>
    <mergeCell ref="E366:M366"/>
    <mergeCell ref="C375:D375"/>
    <mergeCell ref="F375:M375"/>
    <mergeCell ref="C378:D380"/>
    <mergeCell ref="F378:M378"/>
    <mergeCell ref="F379:M379"/>
    <mergeCell ref="F380:M380"/>
    <mergeCell ref="C381:D384"/>
    <mergeCell ref="F381:M381"/>
    <mergeCell ref="F382:M382"/>
    <mergeCell ref="F383:M383"/>
    <mergeCell ref="F384:M384"/>
    <mergeCell ref="C367:D367"/>
    <mergeCell ref="F367:M367"/>
    <mergeCell ref="C368:D368"/>
    <mergeCell ref="F368:M368"/>
    <mergeCell ref="C366:D366"/>
    <mergeCell ref="C374:D374"/>
    <mergeCell ref="E374:M374"/>
    <mergeCell ref="C373:D373"/>
    <mergeCell ref="E373:I373"/>
    <mergeCell ref="J373:K373"/>
    <mergeCell ref="L373:M373"/>
    <mergeCell ref="C369:D369"/>
    <mergeCell ref="F369:M369"/>
    <mergeCell ref="C370:D370"/>
    <mergeCell ref="F370:M370"/>
    <mergeCell ref="C376:D377"/>
    <mergeCell ref="L376:M376"/>
    <mergeCell ref="L377:M377"/>
    <mergeCell ref="C317:D317"/>
    <mergeCell ref="E317:M317"/>
    <mergeCell ref="C316:D316"/>
    <mergeCell ref="E316:I316"/>
    <mergeCell ref="J316:K316"/>
    <mergeCell ref="L316:M316"/>
    <mergeCell ref="C312:D312"/>
    <mergeCell ref="F312:M312"/>
    <mergeCell ref="C313:D313"/>
    <mergeCell ref="F313:M313"/>
    <mergeCell ref="F268:M268"/>
    <mergeCell ref="F269:M269"/>
    <mergeCell ref="F270:M270"/>
    <mergeCell ref="E214:M214"/>
    <mergeCell ref="C223:D223"/>
    <mergeCell ref="F223:M223"/>
    <mergeCell ref="C226:D228"/>
    <mergeCell ref="F226:M226"/>
    <mergeCell ref="F227:M227"/>
    <mergeCell ref="F228:M228"/>
    <mergeCell ref="C229:D232"/>
    <mergeCell ref="F229:M229"/>
    <mergeCell ref="F230:M230"/>
    <mergeCell ref="F231:M231"/>
    <mergeCell ref="F232:M232"/>
    <mergeCell ref="C236:D236"/>
    <mergeCell ref="F236:M236"/>
    <mergeCell ref="C237:D237"/>
    <mergeCell ref="F237:M237"/>
    <mergeCell ref="C234:D234"/>
    <mergeCell ref="F234:M234"/>
    <mergeCell ref="C235:D235"/>
    <mergeCell ref="F235:M235"/>
    <mergeCell ref="C222:D222"/>
    <mergeCell ref="E222:M222"/>
    <mergeCell ref="C233:D233"/>
    <mergeCell ref="E233:M233"/>
    <mergeCell ref="C253:D253"/>
    <mergeCell ref="F253:M253"/>
    <mergeCell ref="C254:D254"/>
    <mergeCell ref="F254:M254"/>
    <mergeCell ref="C241:D241"/>
    <mergeCell ref="C176:D176"/>
    <mergeCell ref="E176:M176"/>
    <mergeCell ref="C185:D185"/>
    <mergeCell ref="F185:M185"/>
    <mergeCell ref="C188:D190"/>
    <mergeCell ref="F188:M188"/>
    <mergeCell ref="F189:M189"/>
    <mergeCell ref="F190:M190"/>
    <mergeCell ref="C191:D194"/>
    <mergeCell ref="F191:M191"/>
    <mergeCell ref="F192:M192"/>
    <mergeCell ref="F193:M193"/>
    <mergeCell ref="F194:M194"/>
    <mergeCell ref="C180:D180"/>
    <mergeCell ref="F180:M180"/>
    <mergeCell ref="C178:D178"/>
    <mergeCell ref="F178:M178"/>
    <mergeCell ref="C179:D179"/>
    <mergeCell ref="F179:M179"/>
    <mergeCell ref="C177:D177"/>
    <mergeCell ref="F177:M177"/>
    <mergeCell ref="C196:D196"/>
    <mergeCell ref="C131:D133"/>
    <mergeCell ref="F131:M131"/>
    <mergeCell ref="F132:M132"/>
    <mergeCell ref="F133:M133"/>
    <mergeCell ref="C134:D137"/>
    <mergeCell ref="F134:M134"/>
    <mergeCell ref="F135:M135"/>
    <mergeCell ref="F136:M136"/>
    <mergeCell ref="F137:M137"/>
    <mergeCell ref="C142:D142"/>
    <mergeCell ref="F142:M142"/>
    <mergeCell ref="C140:D140"/>
    <mergeCell ref="F140:M140"/>
    <mergeCell ref="C141:D141"/>
    <mergeCell ref="F141:M141"/>
    <mergeCell ref="C139:D139"/>
    <mergeCell ref="F139:M139"/>
    <mergeCell ref="D6:F6"/>
    <mergeCell ref="B6:C6"/>
    <mergeCell ref="N8:N9"/>
    <mergeCell ref="C8:C9"/>
    <mergeCell ref="D8:D9"/>
    <mergeCell ref="F8:J8"/>
    <mergeCell ref="K8:K9"/>
    <mergeCell ref="C115:D118"/>
    <mergeCell ref="F115:M115"/>
    <mergeCell ref="F116:M116"/>
    <mergeCell ref="F117:M117"/>
    <mergeCell ref="F118:M118"/>
    <mergeCell ref="C119:D119"/>
    <mergeCell ref="E119:M119"/>
    <mergeCell ref="C128:D128"/>
    <mergeCell ref="F128:M128"/>
    <mergeCell ref="F98:M98"/>
    <mergeCell ref="F99:M99"/>
    <mergeCell ref="C100:D100"/>
    <mergeCell ref="E100:M100"/>
    <mergeCell ref="C109:D109"/>
    <mergeCell ref="F109:M109"/>
    <mergeCell ref="C112:D114"/>
    <mergeCell ref="F112:M112"/>
    <mergeCell ref="F113:M113"/>
    <mergeCell ref="F114:M114"/>
    <mergeCell ref="E107:I107"/>
    <mergeCell ref="J107:K107"/>
    <mergeCell ref="L107:M107"/>
    <mergeCell ref="C85:D85"/>
    <mergeCell ref="F82:M82"/>
    <mergeCell ref="F83:M83"/>
    <mergeCell ref="J69:K69"/>
    <mergeCell ref="L69:M69"/>
    <mergeCell ref="C82:D82"/>
    <mergeCell ref="C83:D83"/>
    <mergeCell ref="C71:D71"/>
    <mergeCell ref="F71:M71"/>
    <mergeCell ref="F77:M77"/>
    <mergeCell ref="F78:M78"/>
    <mergeCell ref="F79:M79"/>
    <mergeCell ref="F80:M80"/>
    <mergeCell ref="C74:D76"/>
    <mergeCell ref="F74:M74"/>
    <mergeCell ref="F75:M75"/>
    <mergeCell ref="F76:M76"/>
    <mergeCell ref="C77:D80"/>
    <mergeCell ref="C72:D73"/>
    <mergeCell ref="L72:M72"/>
    <mergeCell ref="L73:M73"/>
    <mergeCell ref="C88:D88"/>
    <mergeCell ref="E88:I88"/>
    <mergeCell ref="J88:K88"/>
    <mergeCell ref="L88:M88"/>
    <mergeCell ref="L8:M8"/>
    <mergeCell ref="B64:K64"/>
    <mergeCell ref="E8:E9"/>
    <mergeCell ref="B8:B9"/>
    <mergeCell ref="B60:C60"/>
    <mergeCell ref="B61:C61"/>
    <mergeCell ref="B62:C62"/>
    <mergeCell ref="B63:C63"/>
    <mergeCell ref="C84:D84"/>
    <mergeCell ref="C103:D103"/>
    <mergeCell ref="F103:M103"/>
    <mergeCell ref="C104:D104"/>
    <mergeCell ref="F104:M104"/>
    <mergeCell ref="C101:D101"/>
    <mergeCell ref="F101:M101"/>
    <mergeCell ref="C102:D102"/>
    <mergeCell ref="F102:M102"/>
    <mergeCell ref="C89:D89"/>
    <mergeCell ref="E89:M89"/>
    <mergeCell ref="F84:M84"/>
    <mergeCell ref="F85:M85"/>
    <mergeCell ref="C70:D70"/>
    <mergeCell ref="C81:D81"/>
    <mergeCell ref="B67:K67"/>
    <mergeCell ref="E70:M70"/>
    <mergeCell ref="E81:M81"/>
    <mergeCell ref="C69:D69"/>
    <mergeCell ref="E69:I69"/>
    <mergeCell ref="C90:D90"/>
    <mergeCell ref="F90:M90"/>
    <mergeCell ref="C93:D95"/>
    <mergeCell ref="F93:M93"/>
    <mergeCell ref="F94:M94"/>
    <mergeCell ref="F95:M95"/>
    <mergeCell ref="C96:D99"/>
    <mergeCell ref="F96:M96"/>
    <mergeCell ref="F97:M97"/>
    <mergeCell ref="C127:D127"/>
    <mergeCell ref="E127:M127"/>
    <mergeCell ref="C126:D126"/>
    <mergeCell ref="E126:I126"/>
    <mergeCell ref="J126:K126"/>
    <mergeCell ref="L126:M126"/>
    <mergeCell ref="C122:D122"/>
    <mergeCell ref="F122:M122"/>
    <mergeCell ref="C123:D123"/>
    <mergeCell ref="F123:M123"/>
    <mergeCell ref="L91:M91"/>
    <mergeCell ref="L92:M92"/>
    <mergeCell ref="C91:D92"/>
    <mergeCell ref="C110:D111"/>
    <mergeCell ref="L110:M110"/>
    <mergeCell ref="L111:M111"/>
    <mergeCell ref="C120:D120"/>
    <mergeCell ref="F120:M120"/>
    <mergeCell ref="C121:D121"/>
    <mergeCell ref="F121:M121"/>
    <mergeCell ref="C108:D108"/>
    <mergeCell ref="E108:M108"/>
    <mergeCell ref="C107:D107"/>
    <mergeCell ref="C158:D158"/>
    <mergeCell ref="F158:M158"/>
    <mergeCell ref="C159:D159"/>
    <mergeCell ref="F159:M159"/>
    <mergeCell ref="C146:D146"/>
    <mergeCell ref="E146:M146"/>
    <mergeCell ref="C145:D145"/>
    <mergeCell ref="E145:I145"/>
    <mergeCell ref="J145:K145"/>
    <mergeCell ref="L145:M145"/>
    <mergeCell ref="C157:D157"/>
    <mergeCell ref="E157:M157"/>
    <mergeCell ref="C165:D165"/>
    <mergeCell ref="E165:M165"/>
    <mergeCell ref="C164:D164"/>
    <mergeCell ref="E164:I164"/>
    <mergeCell ref="J164:K164"/>
    <mergeCell ref="L164:M164"/>
    <mergeCell ref="C160:D160"/>
    <mergeCell ref="F160:M160"/>
    <mergeCell ref="C161:D161"/>
    <mergeCell ref="F161:M161"/>
    <mergeCell ref="F147:M147"/>
    <mergeCell ref="C150:D152"/>
    <mergeCell ref="F150:M150"/>
    <mergeCell ref="F151:M151"/>
    <mergeCell ref="F152:M152"/>
    <mergeCell ref="C153:D156"/>
    <mergeCell ref="F153:M153"/>
    <mergeCell ref="F154:M154"/>
    <mergeCell ref="F155:M155"/>
    <mergeCell ref="F156:M156"/>
    <mergeCell ref="F196:M196"/>
    <mergeCell ref="C197:D197"/>
    <mergeCell ref="F197:M197"/>
    <mergeCell ref="C184:D184"/>
    <mergeCell ref="E184:M184"/>
    <mergeCell ref="C183:D183"/>
    <mergeCell ref="E183:I183"/>
    <mergeCell ref="J183:K183"/>
    <mergeCell ref="L183:M183"/>
    <mergeCell ref="C195:D195"/>
    <mergeCell ref="E195:M195"/>
    <mergeCell ref="C203:D203"/>
    <mergeCell ref="E203:M203"/>
    <mergeCell ref="C202:D202"/>
    <mergeCell ref="E202:I202"/>
    <mergeCell ref="J202:K202"/>
    <mergeCell ref="L202:M202"/>
    <mergeCell ref="C198:D198"/>
    <mergeCell ref="F198:M198"/>
    <mergeCell ref="C199:D199"/>
    <mergeCell ref="F199:M199"/>
    <mergeCell ref="C204:D204"/>
    <mergeCell ref="F204:M204"/>
    <mergeCell ref="C207:D209"/>
    <mergeCell ref="F207:M207"/>
    <mergeCell ref="F208:M208"/>
    <mergeCell ref="F209:M209"/>
    <mergeCell ref="C210:D213"/>
    <mergeCell ref="F210:M210"/>
    <mergeCell ref="F211:M211"/>
    <mergeCell ref="F212:M212"/>
    <mergeCell ref="F213:M213"/>
    <mergeCell ref="C214:D214"/>
    <mergeCell ref="C221:D221"/>
    <mergeCell ref="E221:I221"/>
    <mergeCell ref="J221:K221"/>
    <mergeCell ref="L221:M221"/>
    <mergeCell ref="C217:D217"/>
    <mergeCell ref="F217:M217"/>
    <mergeCell ref="C218:D218"/>
    <mergeCell ref="F218:M218"/>
    <mergeCell ref="C215:D215"/>
    <mergeCell ref="F215:M215"/>
    <mergeCell ref="C216:D216"/>
    <mergeCell ref="F216:M216"/>
    <mergeCell ref="E241:M241"/>
    <mergeCell ref="C240:D240"/>
    <mergeCell ref="E240:I240"/>
    <mergeCell ref="J240:K240"/>
    <mergeCell ref="L240:M240"/>
    <mergeCell ref="C242:D242"/>
    <mergeCell ref="F242:M242"/>
    <mergeCell ref="C245:D247"/>
    <mergeCell ref="F245:M245"/>
    <mergeCell ref="F246:M246"/>
    <mergeCell ref="F247:M247"/>
    <mergeCell ref="C248:D251"/>
    <mergeCell ref="F248:M248"/>
    <mergeCell ref="F249:M249"/>
    <mergeCell ref="F250:M250"/>
    <mergeCell ref="F251:M251"/>
    <mergeCell ref="C252:D252"/>
    <mergeCell ref="E252:M252"/>
    <mergeCell ref="C243:D244"/>
    <mergeCell ref="L243:M243"/>
    <mergeCell ref="L244:M244"/>
    <mergeCell ref="C260:D260"/>
    <mergeCell ref="E260:M260"/>
    <mergeCell ref="C259:D259"/>
    <mergeCell ref="E259:I259"/>
    <mergeCell ref="J259:K259"/>
    <mergeCell ref="L259:M259"/>
    <mergeCell ref="C255:D255"/>
    <mergeCell ref="F255:M255"/>
    <mergeCell ref="C256:D256"/>
    <mergeCell ref="F256:M256"/>
    <mergeCell ref="C271:D271"/>
    <mergeCell ref="E271:M271"/>
    <mergeCell ref="C278:D278"/>
    <mergeCell ref="E278:I278"/>
    <mergeCell ref="J278:K278"/>
    <mergeCell ref="L278:M278"/>
    <mergeCell ref="C274:D274"/>
    <mergeCell ref="F274:M274"/>
    <mergeCell ref="C275:D275"/>
    <mergeCell ref="F275:M275"/>
    <mergeCell ref="C272:D272"/>
    <mergeCell ref="F272:M272"/>
    <mergeCell ref="C273:D273"/>
    <mergeCell ref="F273:M273"/>
    <mergeCell ref="C261:D261"/>
    <mergeCell ref="F261:M261"/>
    <mergeCell ref="C264:D266"/>
    <mergeCell ref="F264:M264"/>
    <mergeCell ref="F265:M265"/>
    <mergeCell ref="F266:M266"/>
    <mergeCell ref="C267:D270"/>
    <mergeCell ref="F267:M267"/>
    <mergeCell ref="C279:D279"/>
    <mergeCell ref="E279:M279"/>
    <mergeCell ref="C280:D280"/>
    <mergeCell ref="F280:M280"/>
    <mergeCell ref="C283:D285"/>
    <mergeCell ref="F283:M283"/>
    <mergeCell ref="F284:M284"/>
    <mergeCell ref="F285:M285"/>
    <mergeCell ref="C286:D289"/>
    <mergeCell ref="F286:M286"/>
    <mergeCell ref="F287:M287"/>
    <mergeCell ref="F288:M288"/>
    <mergeCell ref="F289:M289"/>
    <mergeCell ref="C290:D290"/>
    <mergeCell ref="C310:D310"/>
    <mergeCell ref="F310:M310"/>
    <mergeCell ref="C311:D311"/>
    <mergeCell ref="F311:M311"/>
    <mergeCell ref="C298:D298"/>
    <mergeCell ref="E298:M298"/>
    <mergeCell ref="C297:D297"/>
    <mergeCell ref="E297:I297"/>
    <mergeCell ref="J297:K297"/>
    <mergeCell ref="L297:M297"/>
    <mergeCell ref="C309:D309"/>
    <mergeCell ref="E309:M309"/>
    <mergeCell ref="E290:M290"/>
    <mergeCell ref="C299:D299"/>
    <mergeCell ref="F299:M299"/>
    <mergeCell ref="C302:D304"/>
    <mergeCell ref="F302:M302"/>
    <mergeCell ref="F303:M303"/>
    <mergeCell ref="C318:D318"/>
    <mergeCell ref="F318:M318"/>
    <mergeCell ref="C321:D323"/>
    <mergeCell ref="F321:M321"/>
    <mergeCell ref="F322:M322"/>
    <mergeCell ref="F323:M323"/>
    <mergeCell ref="C324:D327"/>
    <mergeCell ref="F324:M324"/>
    <mergeCell ref="F325:M325"/>
    <mergeCell ref="F326:M326"/>
    <mergeCell ref="F327:M327"/>
    <mergeCell ref="C328:D328"/>
    <mergeCell ref="C335:D335"/>
    <mergeCell ref="E335:I335"/>
    <mergeCell ref="J335:K335"/>
    <mergeCell ref="L335:M335"/>
    <mergeCell ref="C331:D331"/>
    <mergeCell ref="F331:M331"/>
    <mergeCell ref="C332:D332"/>
    <mergeCell ref="F332:M332"/>
    <mergeCell ref="C329:D329"/>
    <mergeCell ref="F329:M329"/>
    <mergeCell ref="C330:D330"/>
    <mergeCell ref="F330:M330"/>
    <mergeCell ref="C350:D350"/>
    <mergeCell ref="F350:M350"/>
    <mergeCell ref="C351:D351"/>
    <mergeCell ref="F351:M351"/>
    <mergeCell ref="C348:D348"/>
    <mergeCell ref="F348:M348"/>
    <mergeCell ref="C349:D349"/>
    <mergeCell ref="F349:M349"/>
    <mergeCell ref="C336:D336"/>
    <mergeCell ref="E336:M336"/>
    <mergeCell ref="C347:D347"/>
    <mergeCell ref="E347:M347"/>
    <mergeCell ref="E328:M328"/>
    <mergeCell ref="C337:D337"/>
    <mergeCell ref="F337:M337"/>
    <mergeCell ref="C340:D342"/>
    <mergeCell ref="F340:M340"/>
    <mergeCell ref="F341:M341"/>
    <mergeCell ref="F342:M342"/>
    <mergeCell ref="C343:D346"/>
    <mergeCell ref="F343:M343"/>
    <mergeCell ref="F344:M344"/>
    <mergeCell ref="F345:M345"/>
    <mergeCell ref="F346:M346"/>
    <mergeCell ref="C355:D355"/>
    <mergeCell ref="E355:M355"/>
    <mergeCell ref="C354:D354"/>
    <mergeCell ref="E354:I354"/>
    <mergeCell ref="J354:K354"/>
    <mergeCell ref="L354:M354"/>
    <mergeCell ref="C356:D356"/>
    <mergeCell ref="F356:M356"/>
    <mergeCell ref="C359:D361"/>
    <mergeCell ref="F359:M359"/>
    <mergeCell ref="F360:M360"/>
    <mergeCell ref="F361:M361"/>
    <mergeCell ref="C362:D365"/>
    <mergeCell ref="F362:M362"/>
    <mergeCell ref="F363:M363"/>
    <mergeCell ref="F364:M364"/>
    <mergeCell ref="F365:M365"/>
    <mergeCell ref="J392:K392"/>
    <mergeCell ref="L392:M392"/>
    <mergeCell ref="C388:D388"/>
    <mergeCell ref="F388:M388"/>
    <mergeCell ref="C389:D389"/>
    <mergeCell ref="F389:M389"/>
    <mergeCell ref="C386:D386"/>
    <mergeCell ref="F386:M386"/>
    <mergeCell ref="C387:D387"/>
    <mergeCell ref="F387:M387"/>
    <mergeCell ref="C407:D407"/>
    <mergeCell ref="F407:M407"/>
    <mergeCell ref="C408:D408"/>
    <mergeCell ref="F408:M408"/>
    <mergeCell ref="C405:D405"/>
    <mergeCell ref="F405:M405"/>
    <mergeCell ref="C406:D406"/>
    <mergeCell ref="F406:M406"/>
    <mergeCell ref="C393:D393"/>
    <mergeCell ref="E393:M393"/>
    <mergeCell ref="C394:D394"/>
    <mergeCell ref="F394:M394"/>
    <mergeCell ref="C397:D399"/>
    <mergeCell ref="F397:M397"/>
    <mergeCell ref="F398:M398"/>
    <mergeCell ref="F399:M399"/>
    <mergeCell ref="C400:D403"/>
    <mergeCell ref="F400:M400"/>
    <mergeCell ref="F401:M401"/>
    <mergeCell ref="F402:M402"/>
    <mergeCell ref="F403:M403"/>
    <mergeCell ref="C404:D404"/>
    <mergeCell ref="E404:M404"/>
    <mergeCell ref="C424:D424"/>
    <mergeCell ref="F424:M424"/>
    <mergeCell ref="C425:D425"/>
    <mergeCell ref="F425:M425"/>
    <mergeCell ref="C412:D412"/>
    <mergeCell ref="E412:M412"/>
    <mergeCell ref="C411:D411"/>
    <mergeCell ref="E411:I411"/>
    <mergeCell ref="J411:K411"/>
    <mergeCell ref="L411:M411"/>
    <mergeCell ref="C423:D423"/>
    <mergeCell ref="E423:M423"/>
    <mergeCell ref="C431:D431"/>
    <mergeCell ref="E431:M431"/>
    <mergeCell ref="C430:D430"/>
    <mergeCell ref="E430:I430"/>
    <mergeCell ref="J430:K430"/>
    <mergeCell ref="L430:M430"/>
    <mergeCell ref="C426:D426"/>
    <mergeCell ref="F426:M426"/>
    <mergeCell ref="C427:D427"/>
    <mergeCell ref="F427:M427"/>
    <mergeCell ref="C413:D413"/>
    <mergeCell ref="F413:M413"/>
    <mergeCell ref="C416:D418"/>
    <mergeCell ref="F416:M416"/>
    <mergeCell ref="F417:M417"/>
    <mergeCell ref="F418:M418"/>
    <mergeCell ref="C419:D422"/>
    <mergeCell ref="F419:M419"/>
    <mergeCell ref="F420:M420"/>
    <mergeCell ref="F421:M421"/>
    <mergeCell ref="C432:D432"/>
    <mergeCell ref="F432:M432"/>
    <mergeCell ref="C435:D437"/>
    <mergeCell ref="F435:M435"/>
    <mergeCell ref="F436:M436"/>
    <mergeCell ref="F437:M437"/>
    <mergeCell ref="C438:D441"/>
    <mergeCell ref="F438:M438"/>
    <mergeCell ref="F439:M439"/>
    <mergeCell ref="F440:M440"/>
    <mergeCell ref="F441:M441"/>
    <mergeCell ref="C442:D442"/>
    <mergeCell ref="C449:D449"/>
    <mergeCell ref="E449:I449"/>
    <mergeCell ref="J449:K449"/>
    <mergeCell ref="L449:M449"/>
    <mergeCell ref="C445:D445"/>
    <mergeCell ref="F445:M445"/>
    <mergeCell ref="C446:D446"/>
    <mergeCell ref="F446:M446"/>
    <mergeCell ref="C443:D443"/>
    <mergeCell ref="F443:M443"/>
    <mergeCell ref="C444:D444"/>
    <mergeCell ref="F444:M444"/>
    <mergeCell ref="F422:M422"/>
    <mergeCell ref="E469:M469"/>
    <mergeCell ref="C468:D468"/>
    <mergeCell ref="E468:I468"/>
    <mergeCell ref="J468:K468"/>
    <mergeCell ref="L468:M468"/>
    <mergeCell ref="C470:D470"/>
    <mergeCell ref="F470:M470"/>
    <mergeCell ref="C473:D475"/>
    <mergeCell ref="F473:M473"/>
    <mergeCell ref="F474:M474"/>
    <mergeCell ref="F475:M475"/>
    <mergeCell ref="C476:D479"/>
    <mergeCell ref="F476:M476"/>
    <mergeCell ref="F477:M477"/>
    <mergeCell ref="F478:M478"/>
    <mergeCell ref="F479:M479"/>
    <mergeCell ref="C480:D480"/>
    <mergeCell ref="E480:M480"/>
    <mergeCell ref="C488:D488"/>
    <mergeCell ref="E488:M488"/>
    <mergeCell ref="C487:D487"/>
    <mergeCell ref="E487:I487"/>
    <mergeCell ref="J487:K487"/>
    <mergeCell ref="L487:M487"/>
    <mergeCell ref="C483:D483"/>
    <mergeCell ref="F483:M483"/>
    <mergeCell ref="C484:D484"/>
    <mergeCell ref="F484:M484"/>
    <mergeCell ref="C499:D499"/>
    <mergeCell ref="E499:M499"/>
    <mergeCell ref="C506:D506"/>
    <mergeCell ref="E506:I506"/>
    <mergeCell ref="J506:K506"/>
    <mergeCell ref="L506:M506"/>
    <mergeCell ref="C502:D502"/>
    <mergeCell ref="F502:M502"/>
    <mergeCell ref="C503:D503"/>
    <mergeCell ref="F503:M503"/>
    <mergeCell ref="C500:D500"/>
    <mergeCell ref="F500:M500"/>
    <mergeCell ref="C501:D501"/>
    <mergeCell ref="F501:M501"/>
    <mergeCell ref="C489:D489"/>
    <mergeCell ref="F489:M489"/>
    <mergeCell ref="C492:D494"/>
    <mergeCell ref="F492:M492"/>
    <mergeCell ref="F493:M493"/>
    <mergeCell ref="F494:M494"/>
    <mergeCell ref="C495:D498"/>
    <mergeCell ref="F495:M495"/>
    <mergeCell ref="C507:D507"/>
    <mergeCell ref="E507:M507"/>
    <mergeCell ref="C508:D508"/>
    <mergeCell ref="F508:M508"/>
    <mergeCell ref="C511:D513"/>
    <mergeCell ref="F511:M511"/>
    <mergeCell ref="F512:M512"/>
    <mergeCell ref="F513:M513"/>
    <mergeCell ref="C514:D517"/>
    <mergeCell ref="F514:M514"/>
    <mergeCell ref="F515:M515"/>
    <mergeCell ref="F516:M516"/>
    <mergeCell ref="F517:M517"/>
    <mergeCell ref="C518:D518"/>
    <mergeCell ref="C538:D538"/>
    <mergeCell ref="F538:M538"/>
    <mergeCell ref="C539:D539"/>
    <mergeCell ref="F539:M539"/>
    <mergeCell ref="C526:D526"/>
    <mergeCell ref="E526:M526"/>
    <mergeCell ref="C525:D525"/>
    <mergeCell ref="E525:I525"/>
    <mergeCell ref="J525:K525"/>
    <mergeCell ref="L525:M525"/>
    <mergeCell ref="C537:D537"/>
    <mergeCell ref="E537:M537"/>
    <mergeCell ref="C509:D510"/>
    <mergeCell ref="L509:M509"/>
    <mergeCell ref="L510:M510"/>
    <mergeCell ref="C528:D529"/>
    <mergeCell ref="L528:M528"/>
    <mergeCell ref="L529:M529"/>
    <mergeCell ref="F540:M540"/>
    <mergeCell ref="C541:D541"/>
    <mergeCell ref="F541:M541"/>
    <mergeCell ref="C546:D546"/>
    <mergeCell ref="F546:M546"/>
    <mergeCell ref="C549:D551"/>
    <mergeCell ref="F549:M549"/>
    <mergeCell ref="F550:M550"/>
    <mergeCell ref="F551:M551"/>
    <mergeCell ref="C552:D555"/>
    <mergeCell ref="F552:M552"/>
    <mergeCell ref="F553:M553"/>
    <mergeCell ref="F554:M554"/>
    <mergeCell ref="F555:M555"/>
    <mergeCell ref="C556:D556"/>
    <mergeCell ref="C563:D563"/>
    <mergeCell ref="E563:I563"/>
    <mergeCell ref="J563:K563"/>
    <mergeCell ref="L563:M563"/>
    <mergeCell ref="C559:D559"/>
    <mergeCell ref="F559:M559"/>
    <mergeCell ref="C560:D560"/>
    <mergeCell ref="F560:M560"/>
    <mergeCell ref="C557:D557"/>
    <mergeCell ref="F557:M557"/>
    <mergeCell ref="C558:D558"/>
    <mergeCell ref="F558:M558"/>
    <mergeCell ref="E544:I544"/>
    <mergeCell ref="J544:K544"/>
    <mergeCell ref="L544:M544"/>
    <mergeCell ref="C540:D540"/>
    <mergeCell ref="C547:D548"/>
    <mergeCell ref="C578:D578"/>
    <mergeCell ref="F578:M578"/>
    <mergeCell ref="C579:D579"/>
    <mergeCell ref="F579:M579"/>
    <mergeCell ref="C576:D576"/>
    <mergeCell ref="F576:M576"/>
    <mergeCell ref="C577:D577"/>
    <mergeCell ref="F577:M577"/>
    <mergeCell ref="C564:D564"/>
    <mergeCell ref="E564:M564"/>
    <mergeCell ref="C575:D575"/>
    <mergeCell ref="E575:M575"/>
    <mergeCell ref="E556:M556"/>
    <mergeCell ref="C565:D565"/>
    <mergeCell ref="F565:M565"/>
    <mergeCell ref="C568:D570"/>
    <mergeCell ref="F568:M568"/>
    <mergeCell ref="F569:M569"/>
    <mergeCell ref="F570:M570"/>
    <mergeCell ref="C583:D583"/>
    <mergeCell ref="E583:M583"/>
    <mergeCell ref="C582:D582"/>
    <mergeCell ref="E582:I582"/>
    <mergeCell ref="J582:K582"/>
    <mergeCell ref="L582:M582"/>
    <mergeCell ref="C584:D584"/>
    <mergeCell ref="F584:M584"/>
    <mergeCell ref="C587:D589"/>
    <mergeCell ref="F587:M587"/>
    <mergeCell ref="F588:M588"/>
    <mergeCell ref="F589:M589"/>
    <mergeCell ref="C590:D593"/>
    <mergeCell ref="F590:M590"/>
    <mergeCell ref="F591:M591"/>
    <mergeCell ref="F592:M592"/>
    <mergeCell ref="F593:M593"/>
    <mergeCell ref="J620:K620"/>
    <mergeCell ref="L620:M620"/>
    <mergeCell ref="C616:D616"/>
    <mergeCell ref="F616:M616"/>
    <mergeCell ref="C617:D617"/>
    <mergeCell ref="F617:M617"/>
    <mergeCell ref="C614:D614"/>
    <mergeCell ref="F614:M614"/>
    <mergeCell ref="C615:D615"/>
    <mergeCell ref="F615:M615"/>
    <mergeCell ref="C635:D635"/>
    <mergeCell ref="F635:M635"/>
    <mergeCell ref="C636:D636"/>
    <mergeCell ref="F636:M636"/>
    <mergeCell ref="C633:D633"/>
    <mergeCell ref="F633:M633"/>
    <mergeCell ref="C634:D634"/>
    <mergeCell ref="F634:M634"/>
    <mergeCell ref="C621:D621"/>
    <mergeCell ref="E621:M621"/>
    <mergeCell ref="C622:D622"/>
    <mergeCell ref="F622:M622"/>
    <mergeCell ref="C625:D627"/>
    <mergeCell ref="F625:M625"/>
    <mergeCell ref="F626:M626"/>
    <mergeCell ref="F627:M627"/>
    <mergeCell ref="C628:D631"/>
    <mergeCell ref="F628:M628"/>
    <mergeCell ref="F629:M629"/>
    <mergeCell ref="F630:M630"/>
    <mergeCell ref="F631:M631"/>
    <mergeCell ref="C632:D632"/>
    <mergeCell ref="E632:M632"/>
    <mergeCell ref="C652:D652"/>
    <mergeCell ref="F652:M652"/>
    <mergeCell ref="C653:D653"/>
    <mergeCell ref="F653:M653"/>
    <mergeCell ref="C640:D640"/>
    <mergeCell ref="E640:M640"/>
    <mergeCell ref="C639:D639"/>
    <mergeCell ref="E639:I639"/>
    <mergeCell ref="J639:K639"/>
    <mergeCell ref="L639:M639"/>
    <mergeCell ref="C651:D651"/>
    <mergeCell ref="E651:M651"/>
    <mergeCell ref="C659:D659"/>
    <mergeCell ref="E659:M659"/>
    <mergeCell ref="C658:D658"/>
    <mergeCell ref="E658:I658"/>
    <mergeCell ref="J658:K658"/>
    <mergeCell ref="L658:M658"/>
    <mergeCell ref="C654:D654"/>
    <mergeCell ref="F654:M654"/>
    <mergeCell ref="C655:D655"/>
    <mergeCell ref="F655:M655"/>
    <mergeCell ref="C641:D641"/>
    <mergeCell ref="F641:M641"/>
    <mergeCell ref="C644:D646"/>
    <mergeCell ref="F644:M644"/>
    <mergeCell ref="F645:M645"/>
    <mergeCell ref="F646:M646"/>
    <mergeCell ref="C647:D650"/>
    <mergeCell ref="F647:M647"/>
    <mergeCell ref="F648:M648"/>
    <mergeCell ref="F649:M649"/>
    <mergeCell ref="C660:D660"/>
    <mergeCell ref="F660:M660"/>
    <mergeCell ref="C663:D665"/>
    <mergeCell ref="F663:M663"/>
    <mergeCell ref="F664:M664"/>
    <mergeCell ref="F665:M665"/>
    <mergeCell ref="C666:D669"/>
    <mergeCell ref="F666:M666"/>
    <mergeCell ref="F667:M667"/>
    <mergeCell ref="F668:M668"/>
    <mergeCell ref="F669:M669"/>
    <mergeCell ref="C670:D670"/>
    <mergeCell ref="C677:D677"/>
    <mergeCell ref="E677:I677"/>
    <mergeCell ref="J677:K677"/>
    <mergeCell ref="L677:M677"/>
    <mergeCell ref="C673:D673"/>
    <mergeCell ref="F673:M673"/>
    <mergeCell ref="C674:D674"/>
    <mergeCell ref="F674:M674"/>
    <mergeCell ref="C671:D671"/>
    <mergeCell ref="F671:M671"/>
    <mergeCell ref="C672:D672"/>
    <mergeCell ref="F672:M672"/>
    <mergeCell ref="F650:M650"/>
    <mergeCell ref="C661:D662"/>
    <mergeCell ref="L661:M661"/>
    <mergeCell ref="L662:M662"/>
    <mergeCell ref="E670:M670"/>
    <mergeCell ref="E697:M697"/>
    <mergeCell ref="C696:D696"/>
    <mergeCell ref="E696:I696"/>
    <mergeCell ref="J696:K696"/>
    <mergeCell ref="L696:M696"/>
    <mergeCell ref="C698:D698"/>
    <mergeCell ref="F698:M698"/>
    <mergeCell ref="C701:D703"/>
    <mergeCell ref="F701:M701"/>
    <mergeCell ref="F702:M702"/>
    <mergeCell ref="F703:M703"/>
    <mergeCell ref="C704:D707"/>
    <mergeCell ref="F704:M704"/>
    <mergeCell ref="F705:M705"/>
    <mergeCell ref="F706:M706"/>
    <mergeCell ref="F707:M707"/>
    <mergeCell ref="C708:D708"/>
    <mergeCell ref="E708:M708"/>
    <mergeCell ref="C699:D700"/>
    <mergeCell ref="L699:M699"/>
    <mergeCell ref="L700:M700"/>
    <mergeCell ref="C697:D697"/>
    <mergeCell ref="C716:D716"/>
    <mergeCell ref="E716:M716"/>
    <mergeCell ref="C715:D715"/>
    <mergeCell ref="E715:I715"/>
    <mergeCell ref="J715:K715"/>
    <mergeCell ref="L715:M715"/>
    <mergeCell ref="C711:D711"/>
    <mergeCell ref="F711:M711"/>
    <mergeCell ref="C712:D712"/>
    <mergeCell ref="F712:M712"/>
    <mergeCell ref="C727:D727"/>
    <mergeCell ref="E727:M727"/>
    <mergeCell ref="C734:D734"/>
    <mergeCell ref="E734:I734"/>
    <mergeCell ref="J734:K734"/>
    <mergeCell ref="L734:M734"/>
    <mergeCell ref="C730:D730"/>
    <mergeCell ref="F730:M730"/>
    <mergeCell ref="C731:D731"/>
    <mergeCell ref="F731:M731"/>
    <mergeCell ref="C728:D728"/>
    <mergeCell ref="F728:M728"/>
    <mergeCell ref="C718:D719"/>
    <mergeCell ref="L718:M718"/>
    <mergeCell ref="L719:M719"/>
    <mergeCell ref="C737:D738"/>
    <mergeCell ref="L737:M737"/>
    <mergeCell ref="L738:M738"/>
    <mergeCell ref="C756:D757"/>
    <mergeCell ref="L756:M756"/>
    <mergeCell ref="L757:M757"/>
    <mergeCell ref="C810:D810"/>
    <mergeCell ref="E810:I810"/>
    <mergeCell ref="J810:K810"/>
    <mergeCell ref="L810:M810"/>
    <mergeCell ref="C806:D806"/>
    <mergeCell ref="F806:M806"/>
    <mergeCell ref="C807:D807"/>
    <mergeCell ref="F807:M807"/>
    <mergeCell ref="C735:D735"/>
    <mergeCell ref="E735:M735"/>
    <mergeCell ref="C736:D736"/>
    <mergeCell ref="F736:M736"/>
    <mergeCell ref="C739:D741"/>
    <mergeCell ref="F739:M739"/>
    <mergeCell ref="F740:M740"/>
    <mergeCell ref="F741:M741"/>
    <mergeCell ref="C742:D745"/>
    <mergeCell ref="F742:M742"/>
    <mergeCell ref="F743:M743"/>
    <mergeCell ref="F744:M744"/>
    <mergeCell ref="F745:M745"/>
    <mergeCell ref="C746:D746"/>
    <mergeCell ref="C773:D773"/>
    <mergeCell ref="E773:M773"/>
    <mergeCell ref="C754:D754"/>
    <mergeCell ref="E754:M754"/>
    <mergeCell ref="C753:D753"/>
    <mergeCell ref="E753:I753"/>
    <mergeCell ref="J753:K753"/>
    <mergeCell ref="L753:M753"/>
    <mergeCell ref="F778:M778"/>
    <mergeCell ref="F779:M779"/>
    <mergeCell ref="C780:D783"/>
    <mergeCell ref="F818:M818"/>
    <mergeCell ref="F819:M819"/>
    <mergeCell ref="F820:M820"/>
    <mergeCell ref="F821:M821"/>
    <mergeCell ref="C822:D822"/>
    <mergeCell ref="C829:D829"/>
    <mergeCell ref="E829:I829"/>
    <mergeCell ref="J829:K829"/>
    <mergeCell ref="L829:M829"/>
    <mergeCell ref="C825:D825"/>
    <mergeCell ref="F825:M825"/>
    <mergeCell ref="C826:D826"/>
    <mergeCell ref="F826:M826"/>
    <mergeCell ref="C823:D823"/>
    <mergeCell ref="F823:M823"/>
    <mergeCell ref="C824:D824"/>
    <mergeCell ref="F824:M824"/>
    <mergeCell ref="E822:M822"/>
    <mergeCell ref="F804:M804"/>
    <mergeCell ref="C805:D805"/>
    <mergeCell ref="F805:M805"/>
    <mergeCell ref="C792:D792"/>
    <mergeCell ref="E792:M792"/>
    <mergeCell ref="C791:D791"/>
    <mergeCell ref="E791:I791"/>
    <mergeCell ref="J791:K791"/>
    <mergeCell ref="L791:M791"/>
    <mergeCell ref="C803:D803"/>
    <mergeCell ref="E803:M803"/>
    <mergeCell ref="C804:D804"/>
    <mergeCell ref="C785:D785"/>
    <mergeCell ref="C844:D844"/>
    <mergeCell ref="F844:M844"/>
    <mergeCell ref="C845:D845"/>
    <mergeCell ref="F845:M845"/>
    <mergeCell ref="C842:D842"/>
    <mergeCell ref="F842:M842"/>
    <mergeCell ref="C843:D843"/>
    <mergeCell ref="F843:M843"/>
    <mergeCell ref="C830:D830"/>
    <mergeCell ref="E830:M830"/>
    <mergeCell ref="C841:D841"/>
    <mergeCell ref="E841:M841"/>
    <mergeCell ref="F785:M785"/>
    <mergeCell ref="C861:D861"/>
    <mergeCell ref="F861:M861"/>
    <mergeCell ref="F816:M816"/>
    <mergeCell ref="F817:M817"/>
    <mergeCell ref="C818:D821"/>
    <mergeCell ref="C862:D862"/>
    <mergeCell ref="F862:M862"/>
    <mergeCell ref="C849:D849"/>
    <mergeCell ref="E849:M849"/>
    <mergeCell ref="C848:D848"/>
    <mergeCell ref="E848:I848"/>
    <mergeCell ref="J848:K848"/>
    <mergeCell ref="L848:M848"/>
    <mergeCell ref="C850:D850"/>
    <mergeCell ref="F850:M850"/>
    <mergeCell ref="C853:D855"/>
    <mergeCell ref="F853:M853"/>
    <mergeCell ref="F854:M854"/>
    <mergeCell ref="F855:M855"/>
    <mergeCell ref="C856:D859"/>
    <mergeCell ref="F856:M856"/>
    <mergeCell ref="F857:M857"/>
    <mergeCell ref="F858:M858"/>
    <mergeCell ref="F859:M859"/>
    <mergeCell ref="C860:D860"/>
    <mergeCell ref="E860:M860"/>
    <mergeCell ref="C868:D868"/>
    <mergeCell ref="E868:M868"/>
    <mergeCell ref="C867:D867"/>
    <mergeCell ref="E867:I867"/>
    <mergeCell ref="J867:K867"/>
    <mergeCell ref="L867:M867"/>
    <mergeCell ref="C863:D863"/>
    <mergeCell ref="F863:M863"/>
    <mergeCell ref="C864:D864"/>
    <mergeCell ref="F864:M864"/>
    <mergeCell ref="C879:D879"/>
    <mergeCell ref="E879:M879"/>
    <mergeCell ref="C886:D886"/>
    <mergeCell ref="E886:I886"/>
    <mergeCell ref="J886:K886"/>
    <mergeCell ref="L886:M886"/>
    <mergeCell ref="C882:D882"/>
    <mergeCell ref="F882:M882"/>
    <mergeCell ref="C883:D883"/>
    <mergeCell ref="F883:M883"/>
    <mergeCell ref="C880:D880"/>
    <mergeCell ref="F880:M880"/>
    <mergeCell ref="C881:D881"/>
    <mergeCell ref="F881:M881"/>
    <mergeCell ref="C869:D869"/>
    <mergeCell ref="F869:M869"/>
    <mergeCell ref="C872:D874"/>
    <mergeCell ref="F872:M872"/>
    <mergeCell ref="F873:M873"/>
    <mergeCell ref="F874:M874"/>
    <mergeCell ref="C875:D878"/>
    <mergeCell ref="F875:M875"/>
    <mergeCell ref="C906:D906"/>
    <mergeCell ref="E906:M906"/>
    <mergeCell ref="C905:D905"/>
    <mergeCell ref="E905:I905"/>
    <mergeCell ref="J905:K905"/>
    <mergeCell ref="L905:M905"/>
    <mergeCell ref="C917:D917"/>
    <mergeCell ref="E917:M917"/>
    <mergeCell ref="E898:M898"/>
    <mergeCell ref="C907:D907"/>
    <mergeCell ref="F907:M907"/>
    <mergeCell ref="C910:D912"/>
    <mergeCell ref="F910:M910"/>
    <mergeCell ref="F911:M911"/>
    <mergeCell ref="F912:M912"/>
    <mergeCell ref="C913:D916"/>
    <mergeCell ref="F913:M913"/>
    <mergeCell ref="F914:M914"/>
    <mergeCell ref="F915:M915"/>
    <mergeCell ref="F916:M916"/>
    <mergeCell ref="C908:D909"/>
    <mergeCell ref="L908:M908"/>
    <mergeCell ref="L909:M909"/>
    <mergeCell ref="E962:I962"/>
    <mergeCell ref="J962:K962"/>
    <mergeCell ref="L962:M962"/>
    <mergeCell ref="C964:D964"/>
    <mergeCell ref="F964:M964"/>
    <mergeCell ref="C967:D969"/>
    <mergeCell ref="F967:M967"/>
    <mergeCell ref="C920:D920"/>
    <mergeCell ref="F920:M920"/>
    <mergeCell ref="C921:D921"/>
    <mergeCell ref="F921:M921"/>
    <mergeCell ref="C926:D926"/>
    <mergeCell ref="F926:M926"/>
    <mergeCell ref="C929:D931"/>
    <mergeCell ref="F929:M929"/>
    <mergeCell ref="F930:M930"/>
    <mergeCell ref="F931:M931"/>
    <mergeCell ref="C932:D935"/>
    <mergeCell ref="F932:M932"/>
    <mergeCell ref="F933:M933"/>
    <mergeCell ref="F934:M934"/>
    <mergeCell ref="F935:M935"/>
    <mergeCell ref="L928:M928"/>
    <mergeCell ref="F956:M956"/>
    <mergeCell ref="C946:D947"/>
    <mergeCell ref="C958:D958"/>
    <mergeCell ref="F958:M958"/>
    <mergeCell ref="C959:D959"/>
    <mergeCell ref="F959:M959"/>
    <mergeCell ref="C956:D956"/>
    <mergeCell ref="C996:D996"/>
    <mergeCell ref="F996:M996"/>
    <mergeCell ref="C997:D997"/>
    <mergeCell ref="F997:M997"/>
    <mergeCell ref="C788:D788"/>
    <mergeCell ref="F788:M788"/>
    <mergeCell ref="C786:D786"/>
    <mergeCell ref="F786:M786"/>
    <mergeCell ref="C787:D787"/>
    <mergeCell ref="F787:M787"/>
    <mergeCell ref="C983:D983"/>
    <mergeCell ref="C957:D957"/>
    <mergeCell ref="F957:M957"/>
    <mergeCell ref="C944:D944"/>
    <mergeCell ref="E944:M944"/>
    <mergeCell ref="C955:D955"/>
    <mergeCell ref="E955:M955"/>
    <mergeCell ref="C975:D975"/>
    <mergeCell ref="F975:M975"/>
    <mergeCell ref="C925:D925"/>
    <mergeCell ref="E925:M925"/>
    <mergeCell ref="C924:D924"/>
    <mergeCell ref="E924:I924"/>
    <mergeCell ref="J924:K924"/>
    <mergeCell ref="L924:M924"/>
    <mergeCell ref="L946:M946"/>
    <mergeCell ref="L947:M947"/>
    <mergeCell ref="C965:D966"/>
    <mergeCell ref="L965:M965"/>
    <mergeCell ref="L966:M966"/>
    <mergeCell ref="C976:D976"/>
    <mergeCell ref="F976:M976"/>
    <mergeCell ref="C994:D994"/>
    <mergeCell ref="F994:M994"/>
    <mergeCell ref="C995:D995"/>
    <mergeCell ref="F995:M995"/>
    <mergeCell ref="C982:D982"/>
    <mergeCell ref="E982:M982"/>
    <mergeCell ref="C981:D981"/>
    <mergeCell ref="E981:I981"/>
    <mergeCell ref="J981:K981"/>
    <mergeCell ref="L981:M981"/>
    <mergeCell ref="C977:D977"/>
    <mergeCell ref="F977:M977"/>
    <mergeCell ref="C978:D978"/>
    <mergeCell ref="F978:M978"/>
    <mergeCell ref="C993:D993"/>
    <mergeCell ref="E993:M993"/>
    <mergeCell ref="C937:D937"/>
    <mergeCell ref="F937:M937"/>
    <mergeCell ref="C938:D938"/>
    <mergeCell ref="F938:M938"/>
    <mergeCell ref="F968:M968"/>
    <mergeCell ref="F969:M969"/>
    <mergeCell ref="C970:D973"/>
    <mergeCell ref="F970:M970"/>
    <mergeCell ref="F971:M971"/>
    <mergeCell ref="F972:M972"/>
    <mergeCell ref="F973:M973"/>
    <mergeCell ref="C974:D974"/>
    <mergeCell ref="E974:M974"/>
    <mergeCell ref="C963:D963"/>
    <mergeCell ref="E963:M963"/>
    <mergeCell ref="C962:D962"/>
    <mergeCell ref="C1000:D1000"/>
    <mergeCell ref="E1000:I1000"/>
    <mergeCell ref="J1000:K1000"/>
    <mergeCell ref="L1000:M1000"/>
    <mergeCell ref="C1015:D1015"/>
    <mergeCell ref="F1015:M1015"/>
    <mergeCell ref="C1016:D1016"/>
    <mergeCell ref="F1016:M1016"/>
    <mergeCell ref="C1013:D1013"/>
    <mergeCell ref="F1013:M1013"/>
    <mergeCell ref="C1014:D1014"/>
    <mergeCell ref="F1014:M1014"/>
    <mergeCell ref="C1001:D1001"/>
    <mergeCell ref="E1001:M1001"/>
    <mergeCell ref="C1002:D1002"/>
    <mergeCell ref="F1002:M1002"/>
    <mergeCell ref="C1005:D1007"/>
    <mergeCell ref="F1005:M1005"/>
    <mergeCell ref="F1006:M1006"/>
    <mergeCell ref="F1007:M1007"/>
    <mergeCell ref="C1008:D1011"/>
    <mergeCell ref="F1008:M1008"/>
    <mergeCell ref="F1009:M1009"/>
    <mergeCell ref="F1010:M1010"/>
    <mergeCell ref="F1011:M1011"/>
    <mergeCell ref="C1012:D1012"/>
    <mergeCell ref="E1012:M1012"/>
    <mergeCell ref="B1051:N1051"/>
    <mergeCell ref="B1023:N1023"/>
    <mergeCell ref="K1044:N1044"/>
    <mergeCell ref="K1045:N1045"/>
    <mergeCell ref="K1046:N1046"/>
    <mergeCell ref="K1047:N1047"/>
    <mergeCell ref="K1048:N1048"/>
    <mergeCell ref="K1049:N1049"/>
    <mergeCell ref="B1027:C1027"/>
    <mergeCell ref="D1027:F1027"/>
    <mergeCell ref="K1035:N1035"/>
    <mergeCell ref="K1036:N1036"/>
    <mergeCell ref="K1037:N1037"/>
    <mergeCell ref="K1038:N1038"/>
    <mergeCell ref="K1039:N1039"/>
    <mergeCell ref="K1040:N1040"/>
    <mergeCell ref="K1041:N1041"/>
    <mergeCell ref="K1042:N1042"/>
    <mergeCell ref="K1043:N1043"/>
    <mergeCell ref="B1029:B1030"/>
    <mergeCell ref="C1029:C1030"/>
    <mergeCell ref="F1029:J1029"/>
    <mergeCell ref="K1029:N1030"/>
    <mergeCell ref="K1031:N1031"/>
    <mergeCell ref="K1032:N1032"/>
    <mergeCell ref="K1033:N1033"/>
    <mergeCell ref="K1034:N1034"/>
  </mergeCells>
  <conditionalFormatting sqref="D6:F6 B10:B5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D60:J60 D63:J63">
    <cfRule type="expression" dxfId="1363" priority="54">
      <formula>$A$2="PRINT"</formula>
    </cfRule>
  </conditionalFormatting>
  <conditionalFormatting sqref="E71">
    <cfRule type="expression" dxfId="1362" priority="53">
      <formula>$A$2="PRINT"</formula>
    </cfRule>
  </conditionalFormatting>
  <conditionalFormatting sqref="E90">
    <cfRule type="expression" dxfId="1361" priority="52">
      <formula>$A$2="PRINT"</formula>
    </cfRule>
  </conditionalFormatting>
  <conditionalFormatting sqref="E109">
    <cfRule type="expression" dxfId="1360" priority="51">
      <formula>$A$2="PRINT"</formula>
    </cfRule>
  </conditionalFormatting>
  <conditionalFormatting sqref="E128">
    <cfRule type="expression" dxfId="1359" priority="50">
      <formula>$A$2="PRINT"</formula>
    </cfRule>
  </conditionalFormatting>
  <conditionalFormatting sqref="E147">
    <cfRule type="expression" dxfId="1358" priority="49">
      <formula>$A$2="PRINT"</formula>
    </cfRule>
  </conditionalFormatting>
  <conditionalFormatting sqref="E166">
    <cfRule type="expression" dxfId="1357" priority="48">
      <formula>$A$2="PRINT"</formula>
    </cfRule>
  </conditionalFormatting>
  <conditionalFormatting sqref="E185">
    <cfRule type="expression" dxfId="1356" priority="47">
      <formula>$A$2="PRINT"</formula>
    </cfRule>
  </conditionalFormatting>
  <conditionalFormatting sqref="E204">
    <cfRule type="expression" dxfId="1355" priority="46">
      <formula>$A$2="PRINT"</formula>
    </cfRule>
  </conditionalFormatting>
  <conditionalFormatting sqref="E223">
    <cfRule type="expression" dxfId="1354" priority="45">
      <formula>$A$2="PRINT"</formula>
    </cfRule>
  </conditionalFormatting>
  <conditionalFormatting sqref="E242">
    <cfRule type="expression" dxfId="1353" priority="44">
      <formula>$A$2="PRINT"</formula>
    </cfRule>
  </conditionalFormatting>
  <conditionalFormatting sqref="E261">
    <cfRule type="expression" dxfId="1352" priority="43">
      <formula>$A$2="PRINT"</formula>
    </cfRule>
  </conditionalFormatting>
  <conditionalFormatting sqref="E280">
    <cfRule type="expression" dxfId="1351" priority="42">
      <formula>$A$2="PRINT"</formula>
    </cfRule>
  </conditionalFormatting>
  <conditionalFormatting sqref="E299">
    <cfRule type="expression" dxfId="1350" priority="41">
      <formula>$A$2="PRINT"</formula>
    </cfRule>
  </conditionalFormatting>
  <conditionalFormatting sqref="E318">
    <cfRule type="expression" dxfId="1349" priority="40">
      <formula>$A$2="PRINT"</formula>
    </cfRule>
  </conditionalFormatting>
  <conditionalFormatting sqref="E337">
    <cfRule type="expression" dxfId="1348" priority="39">
      <formula>$A$2="PRINT"</formula>
    </cfRule>
  </conditionalFormatting>
  <conditionalFormatting sqref="E356">
    <cfRule type="expression" dxfId="1347" priority="38">
      <formula>$A$2="PRINT"</formula>
    </cfRule>
  </conditionalFormatting>
  <conditionalFormatting sqref="E375">
    <cfRule type="expression" dxfId="1346" priority="37">
      <formula>$A$2="PRINT"</formula>
    </cfRule>
  </conditionalFormatting>
  <conditionalFormatting sqref="E394">
    <cfRule type="expression" dxfId="1345" priority="36">
      <formula>$A$2="PRINT"</formula>
    </cfRule>
  </conditionalFormatting>
  <conditionalFormatting sqref="E413">
    <cfRule type="expression" dxfId="1344" priority="35">
      <formula>$A$2="PRINT"</formula>
    </cfRule>
  </conditionalFormatting>
  <conditionalFormatting sqref="E432">
    <cfRule type="expression" dxfId="1343" priority="34">
      <formula>$A$2="PRINT"</formula>
    </cfRule>
  </conditionalFormatting>
  <conditionalFormatting sqref="E451">
    <cfRule type="expression" dxfId="1342" priority="33">
      <formula>$A$2="PRINT"</formula>
    </cfRule>
  </conditionalFormatting>
  <conditionalFormatting sqref="E470">
    <cfRule type="expression" dxfId="1341" priority="32">
      <formula>$A$2="PRINT"</formula>
    </cfRule>
  </conditionalFormatting>
  <conditionalFormatting sqref="E489">
    <cfRule type="expression" dxfId="1340" priority="31">
      <formula>$A$2="PRINT"</formula>
    </cfRule>
  </conditionalFormatting>
  <conditionalFormatting sqref="E508">
    <cfRule type="expression" dxfId="1339" priority="30">
      <formula>$A$2="PRINT"</formula>
    </cfRule>
  </conditionalFormatting>
  <conditionalFormatting sqref="E527">
    <cfRule type="expression" dxfId="1338" priority="29">
      <formula>$A$2="PRINT"</formula>
    </cfRule>
  </conditionalFormatting>
  <conditionalFormatting sqref="E546">
    <cfRule type="expression" dxfId="1337" priority="28">
      <formula>$A$2="PRINT"</formula>
    </cfRule>
  </conditionalFormatting>
  <conditionalFormatting sqref="E565">
    <cfRule type="expression" dxfId="1336" priority="27">
      <formula>$A$2="PRINT"</formula>
    </cfRule>
  </conditionalFormatting>
  <conditionalFormatting sqref="E584">
    <cfRule type="expression" dxfId="1335" priority="26">
      <formula>$A$2="PRINT"</formula>
    </cfRule>
  </conditionalFormatting>
  <conditionalFormatting sqref="E603">
    <cfRule type="expression" dxfId="1334" priority="25">
      <formula>$A$2="PRINT"</formula>
    </cfRule>
  </conditionalFormatting>
  <conditionalFormatting sqref="E622">
    <cfRule type="expression" dxfId="1333" priority="24">
      <formula>$A$2="PRINT"</formula>
    </cfRule>
  </conditionalFormatting>
  <conditionalFormatting sqref="E641">
    <cfRule type="expression" dxfId="1332" priority="23">
      <formula>$A$2="PRINT"</formula>
    </cfRule>
  </conditionalFormatting>
  <conditionalFormatting sqref="E660">
    <cfRule type="expression" dxfId="1331" priority="22">
      <formula>$A$2="PRINT"</formula>
    </cfRule>
  </conditionalFormatting>
  <conditionalFormatting sqref="E679">
    <cfRule type="expression" dxfId="1330" priority="21">
      <formula>$A$2="PRINT"</formula>
    </cfRule>
  </conditionalFormatting>
  <conditionalFormatting sqref="E698">
    <cfRule type="expression" dxfId="1329" priority="20">
      <formula>$A$2="PRINT"</formula>
    </cfRule>
  </conditionalFormatting>
  <conditionalFormatting sqref="E717">
    <cfRule type="expression" dxfId="1328" priority="19">
      <formula>$A$2="PRINT"</formula>
    </cfRule>
  </conditionalFormatting>
  <conditionalFormatting sqref="E736">
    <cfRule type="expression" dxfId="1327" priority="18">
      <formula>$A$2="PRINT"</formula>
    </cfRule>
  </conditionalFormatting>
  <conditionalFormatting sqref="E755">
    <cfRule type="expression" dxfId="1326" priority="17">
      <formula>$A$2="PRINT"</formula>
    </cfRule>
  </conditionalFormatting>
  <conditionalFormatting sqref="E774">
    <cfRule type="expression" dxfId="1325" priority="16">
      <formula>$A$2="PRINT"</formula>
    </cfRule>
  </conditionalFormatting>
  <conditionalFormatting sqref="E793">
    <cfRule type="expression" dxfId="1324" priority="15">
      <formula>$A$2="PRINT"</formula>
    </cfRule>
  </conditionalFormatting>
  <conditionalFormatting sqref="E812">
    <cfRule type="expression" dxfId="1323" priority="14">
      <formula>$A$2="PRINT"</formula>
    </cfRule>
  </conditionalFormatting>
  <conditionalFormatting sqref="E831">
    <cfRule type="expression" dxfId="1322" priority="13">
      <formula>$A$2="PRINT"</formula>
    </cfRule>
  </conditionalFormatting>
  <conditionalFormatting sqref="E850">
    <cfRule type="expression" dxfId="1321" priority="12">
      <formula>$A$2="PRINT"</formula>
    </cfRule>
  </conditionalFormatting>
  <conditionalFormatting sqref="E869">
    <cfRule type="expression" dxfId="1320" priority="11">
      <formula>$A$2="PRINT"</formula>
    </cfRule>
  </conditionalFormatting>
  <conditionalFormatting sqref="E888">
    <cfRule type="expression" dxfId="1319" priority="10">
      <formula>$A$2="PRINT"</formula>
    </cfRule>
  </conditionalFormatting>
  <conditionalFormatting sqref="E907">
    <cfRule type="expression" dxfId="1318" priority="9">
      <formula>$A$2="PRINT"</formula>
    </cfRule>
  </conditionalFormatting>
  <conditionalFormatting sqref="E926">
    <cfRule type="expression" dxfId="1317" priority="8">
      <formula>$A$2="PRINT"</formula>
    </cfRule>
  </conditionalFormatting>
  <conditionalFormatting sqref="E945">
    <cfRule type="expression" dxfId="1316" priority="7">
      <formula>$A$2="PRINT"</formula>
    </cfRule>
  </conditionalFormatting>
  <conditionalFormatting sqref="E964">
    <cfRule type="expression" dxfId="1315" priority="6">
      <formula>$A$2="PRINT"</formula>
    </cfRule>
  </conditionalFormatting>
  <conditionalFormatting sqref="E983">
    <cfRule type="expression" dxfId="1314" priority="5">
      <formula>$A$2="PRINT"</formula>
    </cfRule>
  </conditionalFormatting>
  <conditionalFormatting sqref="E1002">
    <cfRule type="expression" dxfId="1313" priority="4">
      <formula>$A$2="PRINT"</formula>
    </cfRule>
  </conditionalFormatting>
  <conditionalFormatting sqref="B1032 B1034 B1036 B1038 B1040 B1042 B1044 B1046 B1048:B1049">
    <cfRule type="expression" dxfId="1312" priority="3">
      <formula>$A$2="PRINT"</formula>
    </cfRule>
  </conditionalFormatting>
  <conditionalFormatting sqref="B1031 B1033 B1035 B1037 B1039 B1041 B1043 B1045 B1047">
    <cfRule type="expression" dxfId="1311" priority="2">
      <formula>$A$2="PRINT"</formula>
    </cfRule>
  </conditionalFormatting>
  <conditionalFormatting sqref="D1027:F1027">
    <cfRule type="expression" dxfId="1310"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0D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0D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0D00-000002000000}">
      <formula1>"Click to select,PCP,Master Plan (non-PCP)"</formula1>
    </dataValidation>
    <dataValidation type="list" allowBlank="1" showErrorMessage="1" sqref="D6:F6" xr:uid="{00000000-0002-0000-0D00-000003000000}">
      <formula1>"Click to select number of new major investments,0,1,2,3,4,5,6,7,8,9,10,11,12,13,14,15,16,17,18,19,20,21,22,23,24,25,26,27,28,29,30,31,32,33,34,35,36,37,38,39,40,41,42,43,44,45,46,47,48,49,50"</formula1>
    </dataValidation>
    <dataValidation type="list" allowBlank="1" showErrorMessage="1" sqref="D1027:F1027" xr:uid="{00000000-0002-0000-0D00-000004000000}">
      <formula1>"Click to select number of new other investments,0,1,2,3,4,5,6,7,8,9,10,11,12,13,14,15,16,17,18,19,20"</formula1>
    </dataValidation>
  </dataValidations>
  <hyperlinks>
    <hyperlink ref="B10" location="'2.1 Investments_ANSP#1'!B83" tooltip="Go to Project #" display="1" xr:uid="{00000000-0004-0000-0D00-000000000000}"/>
    <hyperlink ref="B11" location="'2.1 Investments_ANSP#1'!B102" tooltip="Go to Project #" display="2" xr:uid="{00000000-0004-0000-0D00-000001000000}"/>
    <hyperlink ref="B12" location="'2.1 Investments_ANSP#1'!B121" tooltip="Go to Project #" display="3" xr:uid="{00000000-0004-0000-0D00-000002000000}"/>
    <hyperlink ref="B13" location="'2.1 Investments_ANSP#1'!B140" tooltip="Go to Project #" display="4" xr:uid="{00000000-0004-0000-0D00-000003000000}"/>
    <hyperlink ref="B14" location="'2.1 Investments_ANSP#1'!B159" tooltip="Go to Project #" display="5" xr:uid="{00000000-0004-0000-0D00-000004000000}"/>
    <hyperlink ref="B15" location="'2.1 Investments_ANSP#1'!B178" tooltip="Go to Project #" display="6" xr:uid="{00000000-0004-0000-0D00-000005000000}"/>
    <hyperlink ref="B16" location="'2.1 Investments_ANSP#1'!B197" tooltip="Go to Project #" display="7" xr:uid="{00000000-0004-0000-0D00-000006000000}"/>
    <hyperlink ref="B17" location="'2.1 Investments_ANSP#1'!B216" tooltip="Go to Project #" display="8" xr:uid="{00000000-0004-0000-0D00-000007000000}"/>
    <hyperlink ref="B18" location="'2.1 Investments_ANSP#1'!B235" tooltip="Go to Project #" display="9" xr:uid="{00000000-0004-0000-0D00-000008000000}"/>
    <hyperlink ref="B19" location="'2.1 Investments_ANSP#1'!B254" tooltip="Go to Project #" display="10" xr:uid="{00000000-0004-0000-0D00-000009000000}"/>
    <hyperlink ref="B20" location="'2.1 Investments_ANSP#1'!B273" tooltip="Go to Project #" display="11" xr:uid="{00000000-0004-0000-0D00-00000A000000}"/>
    <hyperlink ref="B21" location="'2.1 Investments_ANSP#1'!B292" tooltip="Go to Project #" display="12" xr:uid="{00000000-0004-0000-0D00-00000B000000}"/>
    <hyperlink ref="B22" location="'2.1 Investments_ANSP#1'!B311" tooltip="Go to Project #" display="13" xr:uid="{00000000-0004-0000-0D00-00000C000000}"/>
    <hyperlink ref="B23" location="'2.1 Investments_ANSP#1'!B330" tooltip="Go to Project #" display="14" xr:uid="{00000000-0004-0000-0D00-00000D000000}"/>
    <hyperlink ref="B24" location="'2.1 Investments_ANSP#1'!B349" tooltip="Go to Project #" display="15" xr:uid="{00000000-0004-0000-0D00-00000E000000}"/>
    <hyperlink ref="B25" location="'2.1 Investments_ANSP#1'!B368" tooltip="Go to Project #" display="16" xr:uid="{00000000-0004-0000-0D00-00000F000000}"/>
    <hyperlink ref="B26" location="'2.1 Investments_ANSP#1'!B387" tooltip="Go to Project #" display="17" xr:uid="{00000000-0004-0000-0D00-000010000000}"/>
    <hyperlink ref="B27" location="'2.1 Investments_ANSP#1'!B406" tooltip="Go to Project #" display="18" xr:uid="{00000000-0004-0000-0D00-000011000000}"/>
    <hyperlink ref="B28" location="'2.1 Investments_ANSP#1'!B425" tooltip="Go to Project #" display="19" xr:uid="{00000000-0004-0000-0D00-000012000000}"/>
    <hyperlink ref="B29" location="'2.1 Investments_ANSP#1'!B444" tooltip="Go to Project #" display="20" xr:uid="{00000000-0004-0000-0D00-000013000000}"/>
    <hyperlink ref="B30" location="'2.1 Investments_ANSP#1'!B463" tooltip="Go to Project #" display="21" xr:uid="{00000000-0004-0000-0D00-000014000000}"/>
    <hyperlink ref="B31" location="'2.1 Investments_ANSP#1'!B482" tooltip="Go to Project #" display="22" xr:uid="{00000000-0004-0000-0D00-000015000000}"/>
    <hyperlink ref="B32" location="'2.1 Investments_ANSP#1'!B501" tooltip="Go to Project #" display="23" xr:uid="{00000000-0004-0000-0D00-000016000000}"/>
    <hyperlink ref="B33" location="'2.1 Investments_ANSP#1'!B520" tooltip="Go to Project #" display="24" xr:uid="{00000000-0004-0000-0D00-000017000000}"/>
    <hyperlink ref="B34" location="'2.1 Investments_ANSP#1'!B539" tooltip="Go to Project #" display="25" xr:uid="{00000000-0004-0000-0D00-000018000000}"/>
    <hyperlink ref="B35" location="'2.1 Investments_ANSP#1'!B558" tooltip="Go to Project #" display="26" xr:uid="{00000000-0004-0000-0D00-000019000000}"/>
    <hyperlink ref="B36" location="'2.1 Investments_ANSP#1'!B577" tooltip="Go to Project #" display="27" xr:uid="{00000000-0004-0000-0D00-00001A000000}"/>
    <hyperlink ref="B37" location="'2.1 Investments_ANSP#1'!B596" tooltip="Go to Project #" display="28" xr:uid="{00000000-0004-0000-0D00-00001B000000}"/>
    <hyperlink ref="B38" location="'2.1 Investments_ANSP#1'!B615" tooltip="Go to Project #" display="29" xr:uid="{00000000-0004-0000-0D00-00001C000000}"/>
    <hyperlink ref="B39" location="'2.1 Investments_ANSP#1'!B634" tooltip="Go to Project #" display="30" xr:uid="{00000000-0004-0000-0D00-00001D000000}"/>
    <hyperlink ref="B40" location="'2.1 Investments_ANSP#1'!B653" tooltip="Go to Project #" display="31" xr:uid="{00000000-0004-0000-0D00-00001E000000}"/>
    <hyperlink ref="B41" location="'2.1 Investments_ANSP#1'!B672" tooltip="Go to Project #" display="32" xr:uid="{00000000-0004-0000-0D00-00001F000000}"/>
    <hyperlink ref="B42" location="'2.1 Investments_ANSP#1'!B691" tooltip="Go to Project #" display="33" xr:uid="{00000000-0004-0000-0D00-000020000000}"/>
    <hyperlink ref="B43" location="'2.1 Investments_ANSP#1'!B710" tooltip="Go to Project #" display="34" xr:uid="{00000000-0004-0000-0D00-000021000000}"/>
    <hyperlink ref="B44" location="'2.1 Investments_ANSP#1'!B729" tooltip="Go to Project #" display="35" xr:uid="{00000000-0004-0000-0D00-000022000000}"/>
    <hyperlink ref="B45" location="'2.1 Investments_ANSP#1'!B748" tooltip="Go to Project #" display="36" xr:uid="{00000000-0004-0000-0D00-000023000000}"/>
    <hyperlink ref="B46" location="'2.1 Investments_ANSP#1'!B767" tooltip="Go to Project #" display="37" xr:uid="{00000000-0004-0000-0D00-000024000000}"/>
    <hyperlink ref="B47" location="'2.1 Investments_ANSP#1'!B786" tooltip="Go to Project #" display="38" xr:uid="{00000000-0004-0000-0D00-000025000000}"/>
    <hyperlink ref="B48" location="'2.1 Investments_ANSP#1'!B805" tooltip="Go to Project #" display="39" xr:uid="{00000000-0004-0000-0D00-000026000000}"/>
    <hyperlink ref="B49" location="'2.1 Investments_ANSP#1'!B824" tooltip="Go to Project #" display="40" xr:uid="{00000000-0004-0000-0D00-000027000000}"/>
    <hyperlink ref="B50" location="'2.1 Investments_ANSP#1'!B843" tooltip="Go to Project #" display="41" xr:uid="{00000000-0004-0000-0D00-000028000000}"/>
    <hyperlink ref="B51" location="'2.1 Investments_ANSP#1'!B862" tooltip="Go to Project #" display="42" xr:uid="{00000000-0004-0000-0D00-000029000000}"/>
    <hyperlink ref="B52" location="'2.1 Investments_ANSP#1'!B881" tooltip="Go to Project #" display="43" xr:uid="{00000000-0004-0000-0D00-00002A000000}"/>
    <hyperlink ref="B53" location="'2.1 Investments_ANSP#1'!B900" tooltip="Go to Project #" display="44" xr:uid="{00000000-0004-0000-0D00-00002B000000}"/>
    <hyperlink ref="B54" location="'2.1 Investments_ANSP#1'!B919" tooltip="Go to Project #" display="45" xr:uid="{00000000-0004-0000-0D00-00002C000000}"/>
    <hyperlink ref="B55" location="'2.1 Investments_ANSP#1'!B938" tooltip="Go to Project #" display="46" xr:uid="{00000000-0004-0000-0D00-00002D000000}"/>
    <hyperlink ref="B56" location="'2.1 Investments_ANSP#1'!B957" tooltip="Go to Project #" display="47" xr:uid="{00000000-0004-0000-0D00-00002E000000}"/>
    <hyperlink ref="B57" location="'2.1 Investments_ANSP#1'!B976" tooltip="Go to Project #" display="48" xr:uid="{00000000-0004-0000-0D00-00002F000000}"/>
    <hyperlink ref="B58" location="'2.1 Investments_ANSP#1'!B995" tooltip="Go to Project #" display="49" xr:uid="{00000000-0004-0000-0D00-000030000000}"/>
    <hyperlink ref="B59" location="'2.1 Investments_ANSP#1'!B1014" tooltip="Go to Project #" display="50" xr:uid="{00000000-0004-0000-0D00-000031000000}"/>
    <hyperlink ref="A69" location="'2.1 Investments_ANSP#1'!B4" tooltip="Go to top" display="'2.1 Investments_ANSP#1'!B4" xr:uid="{00000000-0004-0000-0D00-000032000000}"/>
    <hyperlink ref="A943" location="'2.1 Investments_ANSP#1'!B4" tooltip="Go to top" display="'2.1 Investments_ANSP#1'!B4" xr:uid="{00000000-0004-0000-0D00-000033000000}"/>
    <hyperlink ref="A962" location="'2.1 Investments_ANSP#1'!B4" tooltip="Go to top" display="'2.1 Investments_ANSP#1'!B4" xr:uid="{00000000-0004-0000-0D00-000034000000}"/>
    <hyperlink ref="A981" location="'2.1 Investments_ANSP#1'!B4" tooltip="Go to top" display="'2.1 Investments_ANSP#1'!B4" xr:uid="{00000000-0004-0000-0D00-000035000000}"/>
    <hyperlink ref="A1000" location="'2.1 Investments_ANSP#1'!B4" tooltip="Go to top" display="'2.1 Investments_ANSP#1'!B4" xr:uid="{00000000-0004-0000-0D00-000036000000}"/>
    <hyperlink ref="A88" location="'2.1 Investments_ANSP#1'!B4" tooltip="Go to top" display="'2.1 Investments_ANSP#1'!B4" xr:uid="{00000000-0004-0000-0D00-000037000000}"/>
    <hyperlink ref="A107" location="'2.1 Investments_ANSP#1'!B4" tooltip="Go to top" display="'2.1 Investments_ANSP#1'!B4" xr:uid="{00000000-0004-0000-0D00-000038000000}"/>
    <hyperlink ref="A126" location="'2.1 Investments_ANSP#1'!B4" tooltip="Go to top" display="'2.1 Investments_ANSP#1'!B4" xr:uid="{00000000-0004-0000-0D00-000039000000}"/>
    <hyperlink ref="A145" location="'2.1 Investments_ANSP#1'!B4" tooltip="Go to top" display="'2.1 Investments_ANSP#1'!B4" xr:uid="{00000000-0004-0000-0D00-00003A000000}"/>
    <hyperlink ref="A164" location="'2.1 Investments_ANSP#1'!B4" tooltip="Go to top" display="'2.1 Investments_ANSP#1'!B4" xr:uid="{00000000-0004-0000-0D00-00003B000000}"/>
    <hyperlink ref="A183" location="'2.1 Investments_ANSP#1'!B4" tooltip="Go to top" display="'2.1 Investments_ANSP#1'!B4" xr:uid="{00000000-0004-0000-0D00-00003C000000}"/>
    <hyperlink ref="A202" location="'2.1 Investments_ANSP#1'!B4" tooltip="Go to top" display="'2.1 Investments_ANSP#1'!B4" xr:uid="{00000000-0004-0000-0D00-00003D000000}"/>
    <hyperlink ref="A221" location="'2.1 Investments_ANSP#1'!B4" tooltip="Go to top" display="'2.1 Investments_ANSP#1'!B4" xr:uid="{00000000-0004-0000-0D00-00003E000000}"/>
    <hyperlink ref="A240" location="'2.1 Investments_ANSP#1'!B4" tooltip="Go to top" display="'2.1 Investments_ANSP#1'!B4" xr:uid="{00000000-0004-0000-0D00-00003F000000}"/>
    <hyperlink ref="A259" location="'2.1 Investments_ANSP#1'!B4" tooltip="Go to top" display="'2.1 Investments_ANSP#1'!B4" xr:uid="{00000000-0004-0000-0D00-000040000000}"/>
    <hyperlink ref="A278" location="'2.1 Investments_ANSP#1'!B4" tooltip="Go to top" display="'2.1 Investments_ANSP#1'!B4" xr:uid="{00000000-0004-0000-0D00-000041000000}"/>
    <hyperlink ref="A297" location="'2.1 Investments_ANSP#1'!B4" tooltip="Go to top" display="'2.1 Investments_ANSP#1'!B4" xr:uid="{00000000-0004-0000-0D00-000042000000}"/>
    <hyperlink ref="A316" location="'2.1 Investments_ANSP#1'!B4" tooltip="Go to top" display="'2.1 Investments_ANSP#1'!B4" xr:uid="{00000000-0004-0000-0D00-000043000000}"/>
    <hyperlink ref="A335" location="'2.1 Investments_ANSP#1'!B4" tooltip="Go to top" display="'2.1 Investments_ANSP#1'!B4" xr:uid="{00000000-0004-0000-0D00-000044000000}"/>
    <hyperlink ref="A354" location="'2.1 Investments_ANSP#1'!B4" tooltip="Go to top" display="'2.1 Investments_ANSP#1'!B4" xr:uid="{00000000-0004-0000-0D00-000045000000}"/>
    <hyperlink ref="A373" location="'2.1 Investments_ANSP#1'!B4" tooltip="Go to top" display="'2.1 Investments_ANSP#1'!B4" xr:uid="{00000000-0004-0000-0D00-000046000000}"/>
    <hyperlink ref="A392" location="'2.1 Investments_ANSP#1'!B4" tooltip="Go to top" display="'2.1 Investments_ANSP#1'!B4" xr:uid="{00000000-0004-0000-0D00-000047000000}"/>
    <hyperlink ref="A411" location="'2.1 Investments_ANSP#1'!B4" tooltip="Go to top" display="'2.1 Investments_ANSP#1'!B4" xr:uid="{00000000-0004-0000-0D00-000048000000}"/>
    <hyperlink ref="A430" location="'2.1 Investments_ANSP#1'!B4" tooltip="Go to top" display="'2.1 Investments_ANSP#1'!B4" xr:uid="{00000000-0004-0000-0D00-000049000000}"/>
    <hyperlink ref="A449" location="'2.1 Investments_ANSP#1'!B4" tooltip="Go to top" display="'2.1 Investments_ANSP#1'!B4" xr:uid="{00000000-0004-0000-0D00-00004A000000}"/>
    <hyperlink ref="A468" location="'2.1 Investments_ANSP#1'!B4" tooltip="Go to top" display="'2.1 Investments_ANSP#1'!B4" xr:uid="{00000000-0004-0000-0D00-00004B000000}"/>
    <hyperlink ref="A487" location="'2.1 Investments_ANSP#1'!B4" tooltip="Go to top" display="'2.1 Investments_ANSP#1'!B4" xr:uid="{00000000-0004-0000-0D00-00004C000000}"/>
    <hyperlink ref="A506" location="'2.1 Investments_ANSP#1'!B4" tooltip="Go to top" display="'2.1 Investments_ANSP#1'!B4" xr:uid="{00000000-0004-0000-0D00-00004D000000}"/>
    <hyperlink ref="A525" location="'2.1 Investments_ANSP#1'!B4" tooltip="Go to top" display="'2.1 Investments_ANSP#1'!B4" xr:uid="{00000000-0004-0000-0D00-00004E000000}"/>
    <hyperlink ref="A544" location="'2.1 Investments_ANSP#1'!B4" tooltip="Go to top" display="'2.1 Investments_ANSP#1'!B4" xr:uid="{00000000-0004-0000-0D00-00004F000000}"/>
    <hyperlink ref="A563" location="'2.1 Investments_ANSP#1'!B4" tooltip="Go to top" display="'2.1 Investments_ANSP#1'!B4" xr:uid="{00000000-0004-0000-0D00-000050000000}"/>
    <hyperlink ref="A582" location="'2.1 Investments_ANSP#1'!B4" tooltip="Go to top" display="'2.1 Investments_ANSP#1'!B4" xr:uid="{00000000-0004-0000-0D00-000051000000}"/>
    <hyperlink ref="A601" location="'2.1 Investments_ANSP#1'!B4" tooltip="Go to top" display="'2.1 Investments_ANSP#1'!B4" xr:uid="{00000000-0004-0000-0D00-000052000000}"/>
    <hyperlink ref="A620" location="'2.1 Investments_ANSP#1'!B4" tooltip="Go to top" display="'2.1 Investments_ANSP#1'!B4" xr:uid="{00000000-0004-0000-0D00-000053000000}"/>
    <hyperlink ref="A639" location="'2.1 Investments_ANSP#1'!B4" tooltip="Go to top" display="'2.1 Investments_ANSP#1'!B4" xr:uid="{00000000-0004-0000-0D00-000054000000}"/>
    <hyperlink ref="A658" location="'2.1 Investments_ANSP#1'!B4" tooltip="Go to top" display="'2.1 Investments_ANSP#1'!B4" xr:uid="{00000000-0004-0000-0D00-000055000000}"/>
    <hyperlink ref="A677" location="'2.1 Investments_ANSP#1'!B4" tooltip="Go to top" display="'2.1 Investments_ANSP#1'!B4" xr:uid="{00000000-0004-0000-0D00-000056000000}"/>
    <hyperlink ref="A696" location="'2.1 Investments_ANSP#1'!B4" tooltip="Go to top" display="'2.1 Investments_ANSP#1'!B4" xr:uid="{00000000-0004-0000-0D00-000057000000}"/>
    <hyperlink ref="A715" location="'2.1 Investments_ANSP#1'!B4" tooltip="Go to top" display="'2.1 Investments_ANSP#1'!B4" xr:uid="{00000000-0004-0000-0D00-000058000000}"/>
    <hyperlink ref="A734" location="'2.1 Investments_ANSP#1'!B4" tooltip="Go to top" display="'2.1 Investments_ANSP#1'!B4" xr:uid="{00000000-0004-0000-0D00-000059000000}"/>
    <hyperlink ref="A753" location="'2.1 Investments_ANSP#1'!B4" tooltip="Go to top" display="'2.1 Investments_ANSP#1'!B4" xr:uid="{00000000-0004-0000-0D00-00005A000000}"/>
    <hyperlink ref="A772" location="'2.1 Investments_ANSP#1'!B4" tooltip="Go to top" display="'2.1 Investments_ANSP#1'!B4" xr:uid="{00000000-0004-0000-0D00-00005B000000}"/>
    <hyperlink ref="A791" location="'2.1 Investments_ANSP#1'!B4" tooltip="Go to top" display="'2.1 Investments_ANSP#1'!B4" xr:uid="{00000000-0004-0000-0D00-00005C000000}"/>
    <hyperlink ref="A810" location="'2.1 Investments_ANSP#1'!B4" tooltip="Go to top" display="'2.1 Investments_ANSP#1'!B4" xr:uid="{00000000-0004-0000-0D00-00005D000000}"/>
    <hyperlink ref="A829" location="'2.1 Investments_ANSP#1'!B4" tooltip="Go to top" display="'2.1 Investments_ANSP#1'!B4" xr:uid="{00000000-0004-0000-0D00-00005E000000}"/>
    <hyperlink ref="A848" location="'2.1 Investments_ANSP#1'!B4" tooltip="Go to top" display="'2.1 Investments_ANSP#1'!B4" xr:uid="{00000000-0004-0000-0D00-00005F000000}"/>
    <hyperlink ref="A867" location="'2.1 Investments_ANSP#1'!B4" tooltip="Go to top" display="'2.1 Investments_ANSP#1'!B4" xr:uid="{00000000-0004-0000-0D00-000060000000}"/>
    <hyperlink ref="A886" location="'2.1 Investments_ANSP#1'!B4" tooltip="Go to top" display="'2.1 Investments_ANSP#1'!B4" xr:uid="{00000000-0004-0000-0D00-000061000000}"/>
    <hyperlink ref="A905" location="'2.1 Investments_ANSP#1'!B4" tooltip="Go to top" display="'2.1 Investments_ANSP#1'!B4" xr:uid="{00000000-0004-0000-0D00-000062000000}"/>
    <hyperlink ref="A924" location="'2.1 Investments_ANSP#1'!B4" tooltip="Go to top" display="'2.1 Investments_ANSP#1'!B4" xr:uid="{00000000-0004-0000-0D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59">
    <tabColor theme="9" tint="0.39997558519241921"/>
    <pageSetUpPr fitToPage="1"/>
  </sheetPr>
  <dimension ref="A1:Q1052"/>
  <sheetViews>
    <sheetView showGridLines="0" topLeftCell="A1024" zoomScaleNormal="100" workbookViewId="0">
      <selection activeCell="L61" sqref="L61:M62"/>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"2.2 - Investments - "&amp;'1.1 The situation'!$B$14</f>
        <v>2.2 - Investments - Department of Meteorology of the Ministry of Agriculture and Natural resources of the republic of Cyprus.</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1012</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v>0</v>
      </c>
      <c r="E6" s="850"/>
      <c r="F6" s="850"/>
      <c r="G6" s="144"/>
    </row>
    <row r="7" spans="1:17" ht="15" customHeight="1">
      <c r="B7" s="132"/>
      <c r="C7" s="132"/>
      <c r="D7" s="132"/>
      <c r="E7" s="132"/>
      <c r="F7" s="132"/>
    </row>
    <row r="8" spans="1:17" ht="30" customHeight="1">
      <c r="B8" s="860" t="s">
        <v>361</v>
      </c>
      <c r="C8" s="860" t="s">
        <v>324</v>
      </c>
      <c r="D8" s="860" t="s">
        <v>316</v>
      </c>
      <c r="E8" s="860" t="s">
        <v>993</v>
      </c>
      <c r="F8" s="860" t="s">
        <v>317</v>
      </c>
      <c r="G8" s="860"/>
      <c r="H8" s="860"/>
      <c r="I8" s="860"/>
      <c r="J8" s="860"/>
      <c r="K8" s="860" t="s">
        <v>40</v>
      </c>
      <c r="L8" s="860" t="s">
        <v>362</v>
      </c>
      <c r="M8" s="861"/>
      <c r="N8" s="860" t="s">
        <v>358</v>
      </c>
      <c r="O8" s="144"/>
      <c r="Q8" s="43"/>
    </row>
    <row r="9" spans="1:17" ht="29.25" customHeight="1">
      <c r="B9" s="860" t="s">
        <v>361</v>
      </c>
      <c r="C9" s="860"/>
      <c r="D9" s="860"/>
      <c r="E9" s="862"/>
      <c r="F9" s="512">
        <v>2020</v>
      </c>
      <c r="G9" s="512">
        <v>2021</v>
      </c>
      <c r="H9" s="512">
        <v>2022</v>
      </c>
      <c r="I9" s="512">
        <v>2023</v>
      </c>
      <c r="J9" s="512">
        <v>2024</v>
      </c>
      <c r="K9" s="860"/>
      <c r="L9" s="603" t="s">
        <v>303</v>
      </c>
      <c r="M9" s="603" t="s">
        <v>264</v>
      </c>
      <c r="N9" s="860"/>
      <c r="O9" s="144"/>
    </row>
    <row r="10" spans="1:17" ht="30" hidden="1">
      <c r="A10" s="216"/>
      <c r="B10" s="600">
        <v>1</v>
      </c>
      <c r="C10" s="601" t="s">
        <v>1869</v>
      </c>
      <c r="D10" s="205"/>
      <c r="E10" s="205"/>
      <c r="F10" s="205"/>
      <c r="G10" s="205"/>
      <c r="H10" s="205"/>
      <c r="I10" s="205"/>
      <c r="J10" s="205"/>
      <c r="K10" s="205"/>
      <c r="L10" s="219"/>
      <c r="M10" s="219"/>
      <c r="N10" s="220"/>
      <c r="O10" s="144"/>
    </row>
    <row r="11" spans="1:17" hidden="1">
      <c r="A11" s="216"/>
      <c r="B11" s="600">
        <v>2</v>
      </c>
      <c r="C11" s="218"/>
      <c r="D11" s="205"/>
      <c r="E11" s="205"/>
      <c r="F11" s="205"/>
      <c r="G11" s="205"/>
      <c r="H11" s="205"/>
      <c r="I11" s="205"/>
      <c r="J11" s="205"/>
      <c r="K11" s="205"/>
      <c r="L11" s="219"/>
      <c r="M11" s="219"/>
      <c r="N11" s="220"/>
      <c r="O11" s="144"/>
    </row>
    <row r="12" spans="1:17" hidden="1">
      <c r="A12" s="216"/>
      <c r="B12" s="600">
        <v>3</v>
      </c>
      <c r="C12" s="218"/>
      <c r="D12" s="205"/>
      <c r="E12" s="205"/>
      <c r="F12" s="205"/>
      <c r="G12" s="205"/>
      <c r="H12" s="205"/>
      <c r="I12" s="205"/>
      <c r="J12" s="205"/>
      <c r="K12" s="205"/>
      <c r="L12" s="219"/>
      <c r="M12" s="219"/>
      <c r="N12" s="220"/>
      <c r="O12" s="144"/>
    </row>
    <row r="13" spans="1:17" hidden="1">
      <c r="A13" s="216"/>
      <c r="B13" s="600">
        <v>4</v>
      </c>
      <c r="C13" s="218"/>
      <c r="D13" s="205"/>
      <c r="E13" s="205"/>
      <c r="F13" s="205"/>
      <c r="G13" s="205"/>
      <c r="H13" s="205"/>
      <c r="I13" s="205"/>
      <c r="J13" s="205"/>
      <c r="K13" s="205"/>
      <c r="L13" s="219"/>
      <c r="M13" s="219"/>
      <c r="N13" s="220"/>
      <c r="O13" s="144"/>
    </row>
    <row r="14" spans="1:17" hidden="1">
      <c r="A14" s="216"/>
      <c r="B14" s="600">
        <v>5</v>
      </c>
      <c r="C14" s="218"/>
      <c r="D14" s="205"/>
      <c r="E14" s="205"/>
      <c r="F14" s="205"/>
      <c r="G14" s="205"/>
      <c r="H14" s="205"/>
      <c r="I14" s="205"/>
      <c r="J14" s="205"/>
      <c r="K14" s="205"/>
      <c r="L14" s="219"/>
      <c r="M14" s="219"/>
      <c r="N14" s="220"/>
      <c r="O14" s="144"/>
    </row>
    <row r="15" spans="1:17" hidden="1">
      <c r="A15" s="216"/>
      <c r="B15" s="600">
        <v>6</v>
      </c>
      <c r="C15" s="218"/>
      <c r="D15" s="205"/>
      <c r="E15" s="205"/>
      <c r="F15" s="205"/>
      <c r="G15" s="205"/>
      <c r="H15" s="205"/>
      <c r="I15" s="205"/>
      <c r="J15" s="205"/>
      <c r="K15" s="205"/>
      <c r="L15" s="219"/>
      <c r="M15" s="219"/>
      <c r="N15" s="220"/>
      <c r="O15" s="144"/>
    </row>
    <row r="16" spans="1:17" hidden="1">
      <c r="A16" s="216"/>
      <c r="B16" s="600">
        <v>7</v>
      </c>
      <c r="C16" s="218"/>
      <c r="D16" s="205"/>
      <c r="E16" s="205"/>
      <c r="F16" s="205"/>
      <c r="G16" s="205"/>
      <c r="H16" s="205"/>
      <c r="I16" s="205"/>
      <c r="J16" s="205"/>
      <c r="K16" s="205"/>
      <c r="L16" s="219"/>
      <c r="M16" s="219"/>
      <c r="N16" s="220"/>
      <c r="O16" s="144"/>
    </row>
    <row r="17" spans="1:15" hidden="1">
      <c r="A17" s="216"/>
      <c r="B17" s="600">
        <v>8</v>
      </c>
      <c r="C17" s="218"/>
      <c r="D17" s="205"/>
      <c r="E17" s="205"/>
      <c r="F17" s="205"/>
      <c r="G17" s="205"/>
      <c r="H17" s="205"/>
      <c r="I17" s="205"/>
      <c r="J17" s="205"/>
      <c r="K17" s="205"/>
      <c r="L17" s="219"/>
      <c r="M17" s="219"/>
      <c r="N17" s="220"/>
      <c r="O17" s="144"/>
    </row>
    <row r="18" spans="1:15" ht="15" hidden="1" customHeight="1">
      <c r="A18" s="216"/>
      <c r="B18" s="600">
        <v>9</v>
      </c>
      <c r="C18" s="218"/>
      <c r="D18" s="205"/>
      <c r="E18" s="205"/>
      <c r="F18" s="205"/>
      <c r="G18" s="205"/>
      <c r="H18" s="205"/>
      <c r="I18" s="205"/>
      <c r="J18" s="205"/>
      <c r="K18" s="205"/>
      <c r="L18" s="219"/>
      <c r="M18" s="219"/>
      <c r="N18" s="220"/>
      <c r="O18" s="144"/>
    </row>
    <row r="19" spans="1:15" ht="15" hidden="1" customHeight="1">
      <c r="A19" s="216"/>
      <c r="B19" s="600">
        <v>10</v>
      </c>
      <c r="C19" s="218"/>
      <c r="D19" s="205"/>
      <c r="E19" s="205"/>
      <c r="F19" s="205"/>
      <c r="G19" s="205"/>
      <c r="H19" s="205"/>
      <c r="I19" s="205"/>
      <c r="J19" s="205"/>
      <c r="K19" s="205"/>
      <c r="L19" s="219"/>
      <c r="M19" s="219"/>
      <c r="N19" s="220"/>
      <c r="O19" s="144"/>
    </row>
    <row r="20" spans="1:15" hidden="1">
      <c r="A20" s="216"/>
      <c r="B20" s="600">
        <v>11</v>
      </c>
      <c r="C20" s="218"/>
      <c r="D20" s="205"/>
      <c r="E20" s="205"/>
      <c r="F20" s="205"/>
      <c r="G20" s="205"/>
      <c r="H20" s="205"/>
      <c r="I20" s="205"/>
      <c r="J20" s="205"/>
      <c r="K20" s="205"/>
      <c r="L20" s="219"/>
      <c r="M20" s="219"/>
      <c r="N20" s="220"/>
      <c r="O20" s="144"/>
    </row>
    <row r="21" spans="1:15" ht="15" hidden="1" customHeight="1">
      <c r="A21" s="216"/>
      <c r="B21" s="600">
        <v>12</v>
      </c>
      <c r="C21" s="218"/>
      <c r="D21" s="205"/>
      <c r="E21" s="205"/>
      <c r="F21" s="205"/>
      <c r="G21" s="205"/>
      <c r="H21" s="205"/>
      <c r="I21" s="205"/>
      <c r="J21" s="205"/>
      <c r="K21" s="205"/>
      <c r="L21" s="219"/>
      <c r="M21" s="219"/>
      <c r="N21" s="220"/>
      <c r="O21" s="144"/>
    </row>
    <row r="22" spans="1:15" hidden="1">
      <c r="A22" s="216"/>
      <c r="B22" s="600">
        <v>13</v>
      </c>
      <c r="C22" s="218"/>
      <c r="D22" s="205"/>
      <c r="E22" s="205"/>
      <c r="F22" s="205"/>
      <c r="G22" s="205"/>
      <c r="H22" s="205"/>
      <c r="I22" s="205"/>
      <c r="J22" s="205"/>
      <c r="K22" s="205"/>
      <c r="L22" s="219"/>
      <c r="M22" s="219"/>
      <c r="N22" s="220"/>
      <c r="O22" s="144"/>
    </row>
    <row r="23" spans="1:15" hidden="1">
      <c r="A23" s="216"/>
      <c r="B23" s="600">
        <v>14</v>
      </c>
      <c r="C23" s="218"/>
      <c r="D23" s="205"/>
      <c r="E23" s="205"/>
      <c r="F23" s="205"/>
      <c r="G23" s="205"/>
      <c r="H23" s="205"/>
      <c r="I23" s="205"/>
      <c r="J23" s="205"/>
      <c r="K23" s="205"/>
      <c r="L23" s="219"/>
      <c r="M23" s="219"/>
      <c r="N23" s="220"/>
      <c r="O23" s="144"/>
    </row>
    <row r="24" spans="1:15" hidden="1">
      <c r="A24" s="216"/>
      <c r="B24" s="600">
        <v>15</v>
      </c>
      <c r="C24" s="218"/>
      <c r="D24" s="205"/>
      <c r="E24" s="205"/>
      <c r="F24" s="205"/>
      <c r="G24" s="205"/>
      <c r="H24" s="205"/>
      <c r="I24" s="205"/>
      <c r="J24" s="205"/>
      <c r="K24" s="205"/>
      <c r="L24" s="219"/>
      <c r="M24" s="219"/>
      <c r="N24" s="220"/>
      <c r="O24" s="144"/>
    </row>
    <row r="25" spans="1:15" hidden="1">
      <c r="A25" s="216"/>
      <c r="B25" s="600">
        <v>16</v>
      </c>
      <c r="C25" s="218"/>
      <c r="D25" s="205"/>
      <c r="E25" s="205"/>
      <c r="F25" s="205"/>
      <c r="G25" s="205"/>
      <c r="H25" s="205"/>
      <c r="I25" s="205"/>
      <c r="J25" s="205"/>
      <c r="K25" s="205"/>
      <c r="L25" s="219"/>
      <c r="M25" s="219"/>
      <c r="N25" s="220"/>
      <c r="O25" s="144"/>
    </row>
    <row r="26" spans="1:15" hidden="1">
      <c r="A26" s="216"/>
      <c r="B26" s="600">
        <v>17</v>
      </c>
      <c r="C26" s="218"/>
      <c r="D26" s="205"/>
      <c r="E26" s="205"/>
      <c r="F26" s="205"/>
      <c r="G26" s="205"/>
      <c r="H26" s="205"/>
      <c r="I26" s="205"/>
      <c r="J26" s="205"/>
      <c r="K26" s="205"/>
      <c r="L26" s="219"/>
      <c r="M26" s="219"/>
      <c r="N26" s="220"/>
      <c r="O26" s="144"/>
    </row>
    <row r="27" spans="1:15" hidden="1">
      <c r="A27" s="216"/>
      <c r="B27" s="600">
        <v>18</v>
      </c>
      <c r="C27" s="218"/>
      <c r="D27" s="205"/>
      <c r="E27" s="205"/>
      <c r="F27" s="205"/>
      <c r="G27" s="205"/>
      <c r="H27" s="205"/>
      <c r="I27" s="205"/>
      <c r="J27" s="205"/>
      <c r="K27" s="205"/>
      <c r="L27" s="219"/>
      <c r="M27" s="219"/>
      <c r="N27" s="220"/>
      <c r="O27" s="144"/>
    </row>
    <row r="28" spans="1:15" hidden="1">
      <c r="A28" s="216"/>
      <c r="B28" s="600">
        <v>19</v>
      </c>
      <c r="C28" s="218"/>
      <c r="D28" s="205"/>
      <c r="E28" s="205"/>
      <c r="F28" s="205"/>
      <c r="G28" s="205"/>
      <c r="H28" s="205"/>
      <c r="I28" s="205"/>
      <c r="J28" s="205"/>
      <c r="K28" s="205"/>
      <c r="L28" s="219"/>
      <c r="M28" s="219"/>
      <c r="N28" s="220"/>
      <c r="O28" s="144"/>
    </row>
    <row r="29" spans="1:15" hidden="1">
      <c r="A29" s="216"/>
      <c r="B29" s="600">
        <v>20</v>
      </c>
      <c r="C29" s="218"/>
      <c r="D29" s="205"/>
      <c r="E29" s="205"/>
      <c r="F29" s="205"/>
      <c r="G29" s="205"/>
      <c r="H29" s="205"/>
      <c r="I29" s="205"/>
      <c r="J29" s="205"/>
      <c r="K29" s="205"/>
      <c r="L29" s="219"/>
      <c r="M29" s="219"/>
      <c r="N29" s="220"/>
      <c r="O29" s="144"/>
    </row>
    <row r="30" spans="1:15" hidden="1">
      <c r="A30" s="216"/>
      <c r="B30" s="600">
        <v>21</v>
      </c>
      <c r="C30" s="218"/>
      <c r="D30" s="205"/>
      <c r="E30" s="205"/>
      <c r="F30" s="205"/>
      <c r="G30" s="205"/>
      <c r="H30" s="205"/>
      <c r="I30" s="205"/>
      <c r="J30" s="205"/>
      <c r="K30" s="205"/>
      <c r="L30" s="219"/>
      <c r="M30" s="219"/>
      <c r="N30" s="220"/>
      <c r="O30" s="144"/>
    </row>
    <row r="31" spans="1:15" hidden="1">
      <c r="A31" s="216"/>
      <c r="B31" s="600">
        <v>22</v>
      </c>
      <c r="C31" s="218"/>
      <c r="D31" s="205"/>
      <c r="E31" s="205"/>
      <c r="F31" s="205"/>
      <c r="G31" s="205"/>
      <c r="H31" s="205"/>
      <c r="I31" s="205"/>
      <c r="J31" s="205"/>
      <c r="K31" s="205"/>
      <c r="L31" s="219"/>
      <c r="M31" s="219"/>
      <c r="N31" s="220"/>
      <c r="O31" s="144"/>
    </row>
    <row r="32" spans="1:15" hidden="1">
      <c r="A32" s="216"/>
      <c r="B32" s="600">
        <v>23</v>
      </c>
      <c r="C32" s="218"/>
      <c r="D32" s="205"/>
      <c r="E32" s="205"/>
      <c r="F32" s="205"/>
      <c r="G32" s="205"/>
      <c r="H32" s="205"/>
      <c r="I32" s="205"/>
      <c r="J32" s="205"/>
      <c r="K32" s="205"/>
      <c r="L32" s="219"/>
      <c r="M32" s="219"/>
      <c r="N32" s="220"/>
      <c r="O32" s="144"/>
    </row>
    <row r="33" spans="1:15" hidden="1">
      <c r="A33" s="216"/>
      <c r="B33" s="600">
        <v>24</v>
      </c>
      <c r="C33" s="218"/>
      <c r="D33" s="205"/>
      <c r="E33" s="205"/>
      <c r="F33" s="205"/>
      <c r="G33" s="205"/>
      <c r="H33" s="205"/>
      <c r="I33" s="205"/>
      <c r="J33" s="205"/>
      <c r="K33" s="205"/>
      <c r="L33" s="219"/>
      <c r="M33" s="219"/>
      <c r="N33" s="220"/>
      <c r="O33" s="144"/>
    </row>
    <row r="34" spans="1:15" hidden="1">
      <c r="A34" s="216"/>
      <c r="B34" s="600">
        <v>25</v>
      </c>
      <c r="C34" s="218"/>
      <c r="D34" s="205"/>
      <c r="E34" s="205"/>
      <c r="F34" s="205"/>
      <c r="G34" s="205"/>
      <c r="H34" s="205"/>
      <c r="I34" s="205"/>
      <c r="J34" s="205"/>
      <c r="K34" s="205"/>
      <c r="L34" s="219"/>
      <c r="M34" s="219"/>
      <c r="N34" s="220"/>
      <c r="O34" s="144"/>
    </row>
    <row r="35" spans="1:15" hidden="1">
      <c r="A35" s="216"/>
      <c r="B35" s="600">
        <v>26</v>
      </c>
      <c r="C35" s="218"/>
      <c r="D35" s="205"/>
      <c r="E35" s="205"/>
      <c r="F35" s="205"/>
      <c r="G35" s="205"/>
      <c r="H35" s="205"/>
      <c r="I35" s="205"/>
      <c r="J35" s="205"/>
      <c r="K35" s="205"/>
      <c r="L35" s="219"/>
      <c r="M35" s="219"/>
      <c r="N35" s="220"/>
      <c r="O35" s="144"/>
    </row>
    <row r="36" spans="1:15" hidden="1">
      <c r="A36" s="216"/>
      <c r="B36" s="600">
        <v>27</v>
      </c>
      <c r="C36" s="218"/>
      <c r="D36" s="205"/>
      <c r="E36" s="205"/>
      <c r="F36" s="205"/>
      <c r="G36" s="205"/>
      <c r="H36" s="205"/>
      <c r="I36" s="205"/>
      <c r="J36" s="205"/>
      <c r="K36" s="205"/>
      <c r="L36" s="219"/>
      <c r="M36" s="219"/>
      <c r="N36" s="220"/>
      <c r="O36" s="144"/>
    </row>
    <row r="37" spans="1:15" hidden="1">
      <c r="A37" s="216"/>
      <c r="B37" s="600">
        <v>28</v>
      </c>
      <c r="C37" s="218"/>
      <c r="D37" s="205"/>
      <c r="E37" s="205"/>
      <c r="F37" s="205"/>
      <c r="G37" s="205"/>
      <c r="H37" s="205"/>
      <c r="I37" s="205"/>
      <c r="J37" s="205"/>
      <c r="K37" s="205"/>
      <c r="L37" s="219"/>
      <c r="M37" s="219"/>
      <c r="N37" s="220"/>
      <c r="O37" s="144"/>
    </row>
    <row r="38" spans="1:15" hidden="1">
      <c r="A38" s="216"/>
      <c r="B38" s="600">
        <v>29</v>
      </c>
      <c r="C38" s="218"/>
      <c r="D38" s="205"/>
      <c r="E38" s="205"/>
      <c r="F38" s="205"/>
      <c r="G38" s="205"/>
      <c r="H38" s="205"/>
      <c r="I38" s="205"/>
      <c r="J38" s="205"/>
      <c r="K38" s="205"/>
      <c r="L38" s="219"/>
      <c r="M38" s="219"/>
      <c r="N38" s="220"/>
      <c r="O38" s="144"/>
    </row>
    <row r="39" spans="1:15" hidden="1">
      <c r="A39" s="216"/>
      <c r="B39" s="600">
        <v>30</v>
      </c>
      <c r="C39" s="218"/>
      <c r="D39" s="205"/>
      <c r="E39" s="205"/>
      <c r="F39" s="205"/>
      <c r="G39" s="205"/>
      <c r="H39" s="205"/>
      <c r="I39" s="205"/>
      <c r="J39" s="205"/>
      <c r="K39" s="205"/>
      <c r="L39" s="219"/>
      <c r="M39" s="219"/>
      <c r="N39" s="220"/>
      <c r="O39" s="144"/>
    </row>
    <row r="40" spans="1:15" hidden="1">
      <c r="A40" s="216"/>
      <c r="B40" s="600">
        <v>31</v>
      </c>
      <c r="C40" s="218"/>
      <c r="D40" s="205"/>
      <c r="E40" s="205"/>
      <c r="F40" s="205"/>
      <c r="G40" s="205"/>
      <c r="H40" s="205"/>
      <c r="I40" s="205"/>
      <c r="J40" s="205"/>
      <c r="K40" s="205"/>
      <c r="L40" s="219"/>
      <c r="M40" s="219"/>
      <c r="N40" s="220"/>
      <c r="O40" s="144"/>
    </row>
    <row r="41" spans="1:15" hidden="1">
      <c r="A41" s="216"/>
      <c r="B41" s="600">
        <v>32</v>
      </c>
      <c r="C41" s="218"/>
      <c r="D41" s="205"/>
      <c r="E41" s="205"/>
      <c r="F41" s="205"/>
      <c r="G41" s="205"/>
      <c r="H41" s="205"/>
      <c r="I41" s="205"/>
      <c r="J41" s="205"/>
      <c r="K41" s="205"/>
      <c r="L41" s="219"/>
      <c r="M41" s="219"/>
      <c r="N41" s="220"/>
      <c r="O41" s="144"/>
    </row>
    <row r="42" spans="1:15" hidden="1">
      <c r="A42" s="216"/>
      <c r="B42" s="600">
        <v>33</v>
      </c>
      <c r="C42" s="218"/>
      <c r="D42" s="205"/>
      <c r="E42" s="205"/>
      <c r="F42" s="205"/>
      <c r="G42" s="205"/>
      <c r="H42" s="205"/>
      <c r="I42" s="205"/>
      <c r="J42" s="205"/>
      <c r="K42" s="205"/>
      <c r="L42" s="219"/>
      <c r="M42" s="219"/>
      <c r="N42" s="220"/>
      <c r="O42" s="144"/>
    </row>
    <row r="43" spans="1:15" hidden="1">
      <c r="A43" s="216"/>
      <c r="B43" s="600">
        <v>34</v>
      </c>
      <c r="C43" s="218"/>
      <c r="D43" s="205"/>
      <c r="E43" s="205"/>
      <c r="F43" s="205"/>
      <c r="G43" s="205"/>
      <c r="H43" s="205"/>
      <c r="I43" s="205"/>
      <c r="J43" s="205"/>
      <c r="K43" s="205"/>
      <c r="L43" s="219"/>
      <c r="M43" s="219"/>
      <c r="N43" s="220"/>
      <c r="O43" s="144"/>
    </row>
    <row r="44" spans="1:15" hidden="1">
      <c r="A44" s="216"/>
      <c r="B44" s="600">
        <v>35</v>
      </c>
      <c r="C44" s="218"/>
      <c r="D44" s="205"/>
      <c r="E44" s="205"/>
      <c r="F44" s="205"/>
      <c r="G44" s="205"/>
      <c r="H44" s="205"/>
      <c r="I44" s="205"/>
      <c r="J44" s="205"/>
      <c r="K44" s="205"/>
      <c r="L44" s="219"/>
      <c r="M44" s="219"/>
      <c r="N44" s="220"/>
      <c r="O44" s="144"/>
    </row>
    <row r="45" spans="1:15" hidden="1">
      <c r="A45" s="216"/>
      <c r="B45" s="600">
        <v>36</v>
      </c>
      <c r="C45" s="218"/>
      <c r="D45" s="205"/>
      <c r="E45" s="205"/>
      <c r="F45" s="205"/>
      <c r="G45" s="205"/>
      <c r="H45" s="205"/>
      <c r="I45" s="205"/>
      <c r="J45" s="205"/>
      <c r="K45" s="205"/>
      <c r="L45" s="219"/>
      <c r="M45" s="219"/>
      <c r="N45" s="220"/>
      <c r="O45" s="144"/>
    </row>
    <row r="46" spans="1:15" hidden="1">
      <c r="A46" s="216"/>
      <c r="B46" s="600">
        <v>37</v>
      </c>
      <c r="C46" s="218"/>
      <c r="D46" s="205"/>
      <c r="E46" s="205"/>
      <c r="F46" s="205"/>
      <c r="G46" s="205"/>
      <c r="H46" s="205"/>
      <c r="I46" s="205"/>
      <c r="J46" s="205"/>
      <c r="K46" s="205"/>
      <c r="L46" s="219"/>
      <c r="M46" s="219"/>
      <c r="N46" s="220"/>
      <c r="O46" s="144"/>
    </row>
    <row r="47" spans="1:15" hidden="1">
      <c r="A47" s="216"/>
      <c r="B47" s="600">
        <v>38</v>
      </c>
      <c r="C47" s="218"/>
      <c r="D47" s="205"/>
      <c r="E47" s="205"/>
      <c r="F47" s="205"/>
      <c r="G47" s="205"/>
      <c r="H47" s="205"/>
      <c r="I47" s="205"/>
      <c r="J47" s="205"/>
      <c r="K47" s="205"/>
      <c r="L47" s="219"/>
      <c r="M47" s="219"/>
      <c r="N47" s="220"/>
      <c r="O47" s="144"/>
    </row>
    <row r="48" spans="1:15" hidden="1">
      <c r="A48" s="216"/>
      <c r="B48" s="600">
        <v>39</v>
      </c>
      <c r="C48" s="218"/>
      <c r="D48" s="205"/>
      <c r="E48" s="205"/>
      <c r="F48" s="205"/>
      <c r="G48" s="205"/>
      <c r="H48" s="205"/>
      <c r="I48" s="205"/>
      <c r="J48" s="205"/>
      <c r="K48" s="205"/>
      <c r="L48" s="219"/>
      <c r="M48" s="219"/>
      <c r="N48" s="220"/>
      <c r="O48" s="144"/>
    </row>
    <row r="49" spans="1:15" hidden="1">
      <c r="A49" s="216"/>
      <c r="B49" s="600">
        <v>40</v>
      </c>
      <c r="C49" s="218"/>
      <c r="D49" s="205"/>
      <c r="E49" s="205"/>
      <c r="F49" s="205"/>
      <c r="G49" s="205"/>
      <c r="H49" s="205"/>
      <c r="I49" s="205"/>
      <c r="J49" s="205"/>
      <c r="K49" s="205"/>
      <c r="L49" s="219"/>
      <c r="M49" s="219"/>
      <c r="N49" s="220"/>
      <c r="O49" s="144"/>
    </row>
    <row r="50" spans="1:15" hidden="1">
      <c r="A50" s="216"/>
      <c r="B50" s="600">
        <v>41</v>
      </c>
      <c r="C50" s="218"/>
      <c r="D50" s="205"/>
      <c r="E50" s="205"/>
      <c r="F50" s="205"/>
      <c r="G50" s="205"/>
      <c r="H50" s="205"/>
      <c r="I50" s="205"/>
      <c r="J50" s="205"/>
      <c r="K50" s="205"/>
      <c r="L50" s="219"/>
      <c r="M50" s="219"/>
      <c r="N50" s="220"/>
      <c r="O50" s="144"/>
    </row>
    <row r="51" spans="1:15" hidden="1">
      <c r="A51" s="216"/>
      <c r="B51" s="600">
        <v>42</v>
      </c>
      <c r="C51" s="218"/>
      <c r="D51" s="205"/>
      <c r="E51" s="205"/>
      <c r="F51" s="205"/>
      <c r="G51" s="205"/>
      <c r="H51" s="205"/>
      <c r="I51" s="205"/>
      <c r="J51" s="205"/>
      <c r="K51" s="205"/>
      <c r="L51" s="219"/>
      <c r="M51" s="219"/>
      <c r="N51" s="220"/>
      <c r="O51" s="144"/>
    </row>
    <row r="52" spans="1:15" hidden="1">
      <c r="A52" s="216"/>
      <c r="B52" s="600">
        <v>43</v>
      </c>
      <c r="C52" s="218"/>
      <c r="D52" s="205"/>
      <c r="E52" s="205"/>
      <c r="F52" s="205"/>
      <c r="G52" s="205"/>
      <c r="H52" s="205"/>
      <c r="I52" s="205"/>
      <c r="J52" s="205"/>
      <c r="K52" s="205"/>
      <c r="L52" s="219"/>
      <c r="M52" s="219"/>
      <c r="N52" s="220"/>
      <c r="O52" s="144"/>
    </row>
    <row r="53" spans="1:15" hidden="1">
      <c r="A53" s="216"/>
      <c r="B53" s="600">
        <v>44</v>
      </c>
      <c r="C53" s="218"/>
      <c r="D53" s="205"/>
      <c r="E53" s="205"/>
      <c r="F53" s="205"/>
      <c r="G53" s="205"/>
      <c r="H53" s="205"/>
      <c r="I53" s="205"/>
      <c r="J53" s="205"/>
      <c r="K53" s="205"/>
      <c r="L53" s="219"/>
      <c r="M53" s="219"/>
      <c r="N53" s="220"/>
      <c r="O53" s="144"/>
    </row>
    <row r="54" spans="1:15" hidden="1">
      <c r="A54" s="216"/>
      <c r="B54" s="600">
        <v>45</v>
      </c>
      <c r="C54" s="218"/>
      <c r="D54" s="205"/>
      <c r="E54" s="205"/>
      <c r="F54" s="205"/>
      <c r="G54" s="205"/>
      <c r="H54" s="205"/>
      <c r="I54" s="205"/>
      <c r="J54" s="205"/>
      <c r="K54" s="205"/>
      <c r="L54" s="219"/>
      <c r="M54" s="219"/>
      <c r="N54" s="220"/>
      <c r="O54" s="144"/>
    </row>
    <row r="55" spans="1:15" hidden="1">
      <c r="A55" s="216"/>
      <c r="B55" s="600">
        <v>46</v>
      </c>
      <c r="C55" s="218"/>
      <c r="D55" s="205"/>
      <c r="E55" s="205"/>
      <c r="F55" s="205"/>
      <c r="G55" s="205"/>
      <c r="H55" s="205"/>
      <c r="I55" s="205"/>
      <c r="J55" s="205"/>
      <c r="K55" s="205"/>
      <c r="L55" s="219"/>
      <c r="M55" s="219"/>
      <c r="N55" s="220"/>
      <c r="O55" s="144"/>
    </row>
    <row r="56" spans="1:15" hidden="1">
      <c r="A56" s="216"/>
      <c r="B56" s="600">
        <v>47</v>
      </c>
      <c r="C56" s="218"/>
      <c r="D56" s="205"/>
      <c r="E56" s="205"/>
      <c r="F56" s="205"/>
      <c r="G56" s="205"/>
      <c r="H56" s="205"/>
      <c r="I56" s="205"/>
      <c r="J56" s="205"/>
      <c r="K56" s="205"/>
      <c r="L56" s="219"/>
      <c r="M56" s="219"/>
      <c r="N56" s="220"/>
      <c r="O56" s="144"/>
    </row>
    <row r="57" spans="1:15" hidden="1">
      <c r="A57" s="216"/>
      <c r="B57" s="600">
        <v>48</v>
      </c>
      <c r="C57" s="218"/>
      <c r="D57" s="205"/>
      <c r="E57" s="205"/>
      <c r="F57" s="205"/>
      <c r="G57" s="205"/>
      <c r="H57" s="205"/>
      <c r="I57" s="205"/>
      <c r="J57" s="205"/>
      <c r="K57" s="205"/>
      <c r="L57" s="219"/>
      <c r="M57" s="219"/>
      <c r="N57" s="220"/>
      <c r="O57" s="144"/>
    </row>
    <row r="58" spans="1:15" hidden="1">
      <c r="A58" s="216"/>
      <c r="B58" s="600">
        <v>49</v>
      </c>
      <c r="C58" s="218"/>
      <c r="D58" s="205"/>
      <c r="E58" s="205"/>
      <c r="F58" s="205"/>
      <c r="G58" s="205"/>
      <c r="H58" s="205"/>
      <c r="I58" s="205"/>
      <c r="J58" s="205"/>
      <c r="K58" s="205"/>
      <c r="L58" s="219"/>
      <c r="M58" s="219"/>
      <c r="N58" s="220"/>
      <c r="O58" s="144"/>
    </row>
    <row r="59" spans="1:15" hidden="1">
      <c r="A59" s="216"/>
      <c r="B59" s="600">
        <v>50</v>
      </c>
      <c r="C59" s="218"/>
      <c r="D59" s="205"/>
      <c r="E59" s="205"/>
      <c r="F59" s="205"/>
      <c r="G59" s="205"/>
      <c r="H59" s="205"/>
      <c r="I59" s="205"/>
      <c r="J59" s="205"/>
      <c r="K59" s="205"/>
      <c r="L59" s="219"/>
      <c r="M59" s="219"/>
      <c r="N59" s="220"/>
      <c r="O59" s="144"/>
    </row>
    <row r="60" spans="1:15" ht="28.5" customHeight="1">
      <c r="B60" s="808" t="s">
        <v>319</v>
      </c>
      <c r="C60" s="809"/>
      <c r="D60" s="205">
        <f t="shared" ref="D60:J60" si="0">SUM(D10:D59)</f>
        <v>0</v>
      </c>
      <c r="E60" s="205">
        <f t="shared" si="0"/>
        <v>0</v>
      </c>
      <c r="F60" s="205">
        <f t="shared" si="0"/>
        <v>0</v>
      </c>
      <c r="G60" s="205">
        <f t="shared" si="0"/>
        <v>0</v>
      </c>
      <c r="H60" s="205">
        <f t="shared" si="0"/>
        <v>0</v>
      </c>
      <c r="I60" s="205">
        <f t="shared" si="0"/>
        <v>0</v>
      </c>
      <c r="J60" s="205">
        <f t="shared" si="0"/>
        <v>0</v>
      </c>
      <c r="K60" s="595"/>
      <c r="L60" s="595"/>
      <c r="M60" s="595"/>
      <c r="N60" s="595"/>
      <c r="O60" s="144"/>
    </row>
    <row r="61" spans="1:15" ht="30" customHeight="1">
      <c r="B61" s="808" t="s">
        <v>320</v>
      </c>
      <c r="C61" s="809"/>
      <c r="D61" s="205">
        <v>2376750.44</v>
      </c>
      <c r="E61" s="205">
        <v>1901400.352</v>
      </c>
      <c r="F61" s="205">
        <v>14351.044785</v>
      </c>
      <c r="G61" s="205">
        <v>154497.30924800001</v>
      </c>
      <c r="H61" s="205">
        <v>210668.75392499997</v>
      </c>
      <c r="I61" s="205">
        <v>357194.27919550001</v>
      </c>
      <c r="J61" s="205">
        <v>386025.55300449999</v>
      </c>
      <c r="K61" s="595"/>
      <c r="L61" s="219">
        <v>0.8</v>
      </c>
      <c r="M61" s="219">
        <v>0.2</v>
      </c>
      <c r="N61" s="595"/>
      <c r="O61" s="144"/>
    </row>
    <row r="62" spans="1:15">
      <c r="B62" s="808" t="s">
        <v>321</v>
      </c>
      <c r="C62" s="809"/>
      <c r="D62" s="602"/>
      <c r="E62" s="602"/>
      <c r="F62" s="205">
        <v>60783.299652000002</v>
      </c>
      <c r="G62" s="205">
        <v>45806.416000000012</v>
      </c>
      <c r="H62" s="205">
        <v>35006.338799999998</v>
      </c>
      <c r="I62" s="205">
        <v>27883.255603999998</v>
      </c>
      <c r="J62" s="205">
        <v>16137.003003999998</v>
      </c>
      <c r="K62" s="595"/>
      <c r="L62" s="219">
        <v>0.8</v>
      </c>
      <c r="M62" s="219">
        <v>0.2</v>
      </c>
      <c r="N62" s="595"/>
      <c r="O62" s="144"/>
    </row>
    <row r="63" spans="1:15" ht="30" customHeight="1">
      <c r="B63" s="808" t="s">
        <v>357</v>
      </c>
      <c r="C63" s="809"/>
      <c r="D63" s="205">
        <f>SUM(D60:D62)</f>
        <v>2376750.44</v>
      </c>
      <c r="E63" s="205">
        <f>SUM(E60:E62)</f>
        <v>1901400.352</v>
      </c>
      <c r="F63" s="205">
        <f t="shared" ref="F63:J63" si="1">SUM(F60:F62)</f>
        <v>75134.344437000007</v>
      </c>
      <c r="G63" s="205">
        <f t="shared" si="1"/>
        <v>200303.725248</v>
      </c>
      <c r="H63" s="205">
        <f t="shared" si="1"/>
        <v>245675.09272499997</v>
      </c>
      <c r="I63" s="205">
        <f t="shared" si="1"/>
        <v>385077.53479950002</v>
      </c>
      <c r="J63" s="205">
        <f t="shared" si="1"/>
        <v>402162.55600849999</v>
      </c>
      <c r="K63" s="595"/>
      <c r="L63" s="595"/>
      <c r="M63" s="595"/>
      <c r="N63" s="595"/>
      <c r="O63" s="144"/>
    </row>
    <row r="64" spans="1:15" ht="18.75" customHeight="1">
      <c r="B64" s="778" t="s">
        <v>994</v>
      </c>
      <c r="C64" s="778"/>
      <c r="D64" s="778"/>
      <c r="E64" s="778"/>
      <c r="F64" s="778"/>
      <c r="G64" s="778"/>
      <c r="H64" s="778"/>
      <c r="I64" s="778"/>
      <c r="J64" s="778"/>
      <c r="K64" s="778"/>
      <c r="L64" s="132"/>
      <c r="M64" s="132"/>
      <c r="N64" s="132"/>
    </row>
    <row r="65" spans="1:14" ht="31.15" customHeight="1">
      <c r="B65" s="863" t="s">
        <v>1922</v>
      </c>
      <c r="C65" s="851"/>
      <c r="D65" s="851"/>
      <c r="E65" s="851"/>
      <c r="F65" s="851"/>
      <c r="G65" s="851"/>
      <c r="H65" s="851"/>
      <c r="I65" s="851"/>
      <c r="J65" s="851"/>
      <c r="K65" s="851"/>
      <c r="L65" s="851"/>
      <c r="M65" s="851"/>
      <c r="N65" s="851"/>
    </row>
    <row r="66" spans="1:14" ht="28.15" hidden="1" customHeight="1">
      <c r="B66" s="32" t="s">
        <v>1013</v>
      </c>
      <c r="C66" s="32"/>
      <c r="D66" s="32"/>
      <c r="E66" s="32"/>
      <c r="F66" s="32"/>
      <c r="G66" s="32"/>
      <c r="H66" s="32"/>
      <c r="I66" s="32"/>
      <c r="J66" s="32"/>
      <c r="K66" s="32"/>
      <c r="L66" s="32"/>
      <c r="M66" s="32"/>
      <c r="N66" s="32"/>
    </row>
    <row r="67" spans="1:14" ht="17.25" hidden="1">
      <c r="B67" s="842" t="s">
        <v>325</v>
      </c>
      <c r="C67" s="842"/>
      <c r="D67" s="842"/>
      <c r="E67" s="842"/>
      <c r="F67" s="842"/>
      <c r="G67" s="842"/>
      <c r="H67" s="842"/>
      <c r="I67" s="842"/>
      <c r="J67" s="842"/>
      <c r="K67" s="842"/>
      <c r="M67" s="32"/>
    </row>
    <row r="68" spans="1:14" hidden="1"/>
    <row r="69" spans="1:14" s="15" customFormat="1" ht="15" hidden="1" customHeight="1">
      <c r="A69" s="6" t="s">
        <v>693</v>
      </c>
      <c r="C69" s="798" t="s">
        <v>323</v>
      </c>
      <c r="D69" s="799"/>
      <c r="E69" s="800" t="str">
        <f>IF(C10="","",C10)</f>
        <v xml:space="preserve">No project above 5 mil. Euros (i.e. major) is planned </v>
      </c>
      <c r="F69" s="801"/>
      <c r="G69" s="801"/>
      <c r="H69" s="801"/>
      <c r="I69" s="801"/>
      <c r="J69" s="654" t="s">
        <v>322</v>
      </c>
      <c r="K69" s="655"/>
      <c r="L69" s="802">
        <f>D10</f>
        <v>0</v>
      </c>
      <c r="M69" s="803"/>
      <c r="N69" s="222"/>
    </row>
    <row r="70" spans="1:14" ht="45" hidden="1" customHeight="1">
      <c r="C70" s="654" t="s">
        <v>995</v>
      </c>
      <c r="D70" s="655"/>
      <c r="E70" s="858" t="s">
        <v>1923</v>
      </c>
      <c r="F70" s="859"/>
      <c r="G70" s="859"/>
      <c r="H70" s="859"/>
      <c r="I70" s="859"/>
      <c r="J70" s="859"/>
      <c r="K70" s="859"/>
      <c r="L70" s="859"/>
      <c r="M70" s="859"/>
      <c r="N70" s="144"/>
    </row>
    <row r="71" spans="1:14" ht="60" hidden="1"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11"/>
      <c r="E71" s="398" t="s">
        <v>240</v>
      </c>
      <c r="F71" s="632"/>
      <c r="G71" s="633"/>
      <c r="H71" s="633"/>
      <c r="I71" s="633"/>
      <c r="J71" s="633"/>
      <c r="K71" s="633"/>
      <c r="L71" s="633"/>
      <c r="M71" s="724"/>
      <c r="N71" s="144"/>
    </row>
    <row r="72" spans="1:14" ht="15" hidden="1"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hidden="1" customHeight="1">
      <c r="C73" s="826"/>
      <c r="D73" s="827"/>
      <c r="E73" s="411"/>
      <c r="F73" s="411"/>
      <c r="G73" s="411"/>
      <c r="H73" s="411"/>
      <c r="I73" s="411"/>
      <c r="J73" s="411"/>
      <c r="K73" s="411"/>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45" hidden="1"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20"/>
      <c r="F81" s="809"/>
      <c r="G81" s="809"/>
      <c r="H81" s="809"/>
      <c r="I81" s="809"/>
      <c r="J81" s="809"/>
      <c r="K81" s="809"/>
      <c r="L81" s="809"/>
      <c r="M81" s="809"/>
      <c r="N81" s="144"/>
    </row>
    <row r="82" spans="1:14" hidden="1">
      <c r="C82" s="654" t="s">
        <v>996</v>
      </c>
      <c r="D82" s="655"/>
      <c r="E82" s="189" t="s">
        <v>240</v>
      </c>
      <c r="F82" s="806"/>
      <c r="G82" s="807"/>
      <c r="H82" s="807"/>
      <c r="I82" s="807"/>
      <c r="J82" s="807"/>
      <c r="K82" s="807"/>
      <c r="L82" s="807"/>
      <c r="M82" s="807"/>
      <c r="N82" s="144"/>
    </row>
    <row r="83" spans="1:14" hidden="1">
      <c r="C83" s="654" t="s">
        <v>326</v>
      </c>
      <c r="D83" s="655"/>
      <c r="E83" s="189" t="s">
        <v>240</v>
      </c>
      <c r="F83" s="806"/>
      <c r="G83" s="807"/>
      <c r="H83" s="807"/>
      <c r="I83" s="807"/>
      <c r="J83" s="807"/>
      <c r="K83" s="807"/>
      <c r="L83" s="807"/>
      <c r="M83" s="807"/>
      <c r="N83" s="144"/>
    </row>
    <row r="84" spans="1:14" hidden="1">
      <c r="C84" s="804" t="s">
        <v>997</v>
      </c>
      <c r="D84" s="805"/>
      <c r="E84" s="189" t="s">
        <v>240</v>
      </c>
      <c r="F84" s="806"/>
      <c r="G84" s="807"/>
      <c r="H84" s="807"/>
      <c r="I84" s="807"/>
      <c r="J84" s="807"/>
      <c r="K84" s="807"/>
      <c r="L84" s="807"/>
      <c r="M84" s="807"/>
      <c r="N84" s="144"/>
    </row>
    <row r="85" spans="1:14" ht="30" hidden="1" customHeight="1">
      <c r="C85" s="804" t="s">
        <v>327</v>
      </c>
      <c r="D85" s="805"/>
      <c r="E85" s="189" t="s">
        <v>240</v>
      </c>
      <c r="F85" s="806"/>
      <c r="G85" s="807"/>
      <c r="H85" s="807"/>
      <c r="I85" s="807"/>
      <c r="J85" s="807"/>
      <c r="K85" s="807"/>
      <c r="L85" s="807"/>
      <c r="M85" s="807"/>
      <c r="N85" s="181"/>
    </row>
    <row r="86" spans="1:14" ht="9" hidden="1" customHeight="1">
      <c r="C86" s="132"/>
      <c r="D86" s="132"/>
      <c r="E86" s="132"/>
      <c r="F86" s="132"/>
      <c r="G86" s="132"/>
      <c r="H86" s="132"/>
      <c r="I86" s="132"/>
      <c r="J86" s="132"/>
      <c r="K86" s="132"/>
      <c r="L86" s="132"/>
      <c r="M86" s="132"/>
    </row>
    <row r="87" spans="1:14" hidden="1">
      <c r="B87"/>
      <c r="C87"/>
      <c r="D87"/>
      <c r="E87"/>
      <c r="F87"/>
      <c r="G87"/>
      <c r="H87"/>
      <c r="I87"/>
      <c r="J87"/>
      <c r="K87"/>
      <c r="L87"/>
      <c r="M87"/>
    </row>
    <row r="88" spans="1:14" s="15" customFormat="1" ht="15" hidden="1" customHeight="1">
      <c r="A88" s="6" t="s">
        <v>693</v>
      </c>
      <c r="C88" s="798" t="s">
        <v>644</v>
      </c>
      <c r="D88" s="799"/>
      <c r="E88" s="800" t="str">
        <f>IF(C11="","",C11)</f>
        <v/>
      </c>
      <c r="F88" s="801"/>
      <c r="G88" s="801"/>
      <c r="H88" s="801"/>
      <c r="I88" s="801"/>
      <c r="J88" s="654" t="s">
        <v>322</v>
      </c>
      <c r="K88" s="655"/>
      <c r="L88" s="802">
        <f>D11</f>
        <v>0</v>
      </c>
      <c r="M88" s="803"/>
      <c r="N88" s="222"/>
    </row>
    <row r="89" spans="1:14" ht="45" hidden="1" customHeight="1">
      <c r="C89" s="654" t="s">
        <v>995</v>
      </c>
      <c r="D89" s="655"/>
      <c r="E89" s="808"/>
      <c r="F89" s="809"/>
      <c r="G89" s="809"/>
      <c r="H89" s="809"/>
      <c r="I89" s="809"/>
      <c r="J89" s="809"/>
      <c r="K89" s="809"/>
      <c r="L89" s="809"/>
      <c r="M89" s="809"/>
      <c r="N89" s="144"/>
    </row>
    <row r="90" spans="1:14" ht="60" hidden="1"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1"/>
      <c r="E90" s="398" t="s">
        <v>240</v>
      </c>
      <c r="F90" s="632"/>
      <c r="G90" s="633"/>
      <c r="H90" s="633"/>
      <c r="I90" s="633"/>
      <c r="J90" s="633"/>
      <c r="K90" s="633"/>
      <c r="L90" s="633"/>
      <c r="M90" s="724"/>
      <c r="N90" s="144"/>
    </row>
    <row r="91" spans="1:14" ht="15" hidden="1"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hidden="1" customHeight="1">
      <c r="C92" s="826"/>
      <c r="D92" s="827"/>
      <c r="E92" s="411"/>
      <c r="F92" s="411"/>
      <c r="G92" s="411"/>
      <c r="H92" s="411"/>
      <c r="I92" s="411"/>
      <c r="J92" s="411"/>
      <c r="K92" s="411"/>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45" hidden="1"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20"/>
      <c r="F100" s="809"/>
      <c r="G100" s="809"/>
      <c r="H100" s="809"/>
      <c r="I100" s="809"/>
      <c r="J100" s="809"/>
      <c r="K100" s="809"/>
      <c r="L100" s="809"/>
      <c r="M100" s="809"/>
      <c r="N100" s="144"/>
    </row>
    <row r="101" spans="1:14" hidden="1">
      <c r="C101" s="654" t="s">
        <v>996</v>
      </c>
      <c r="D101" s="655"/>
      <c r="E101" s="189" t="s">
        <v>240</v>
      </c>
      <c r="F101" s="806"/>
      <c r="G101" s="807"/>
      <c r="H101" s="807"/>
      <c r="I101" s="807"/>
      <c r="J101" s="807"/>
      <c r="K101" s="807"/>
      <c r="L101" s="807"/>
      <c r="M101" s="807"/>
      <c r="N101" s="144"/>
    </row>
    <row r="102" spans="1:14" hidden="1">
      <c r="C102" s="654" t="s">
        <v>326</v>
      </c>
      <c r="D102" s="655"/>
      <c r="E102" s="189" t="s">
        <v>240</v>
      </c>
      <c r="F102" s="806"/>
      <c r="G102" s="807"/>
      <c r="H102" s="807"/>
      <c r="I102" s="807"/>
      <c r="J102" s="807"/>
      <c r="K102" s="807"/>
      <c r="L102" s="807"/>
      <c r="M102" s="807"/>
      <c r="N102" s="144"/>
    </row>
    <row r="103" spans="1:14" ht="15" hidden="1" customHeight="1">
      <c r="C103" s="804" t="s">
        <v>997</v>
      </c>
      <c r="D103" s="805"/>
      <c r="E103" s="189" t="s">
        <v>240</v>
      </c>
      <c r="F103" s="806"/>
      <c r="G103" s="807"/>
      <c r="H103" s="807"/>
      <c r="I103" s="807"/>
      <c r="J103" s="807"/>
      <c r="K103" s="807"/>
      <c r="L103" s="807"/>
      <c r="M103" s="807"/>
      <c r="N103" s="144"/>
    </row>
    <row r="104" spans="1:14" ht="30" hidden="1" customHeight="1">
      <c r="C104" s="804" t="s">
        <v>327</v>
      </c>
      <c r="D104" s="805"/>
      <c r="E104" s="189" t="s">
        <v>240</v>
      </c>
      <c r="F104" s="806"/>
      <c r="G104" s="807"/>
      <c r="H104" s="807"/>
      <c r="I104" s="807"/>
      <c r="J104" s="807"/>
      <c r="K104" s="807"/>
      <c r="L104" s="807"/>
      <c r="M104" s="807"/>
      <c r="N104" s="181"/>
    </row>
    <row r="105" spans="1:14" ht="9" hidden="1" customHeight="1">
      <c r="C105" s="132"/>
      <c r="D105" s="132"/>
      <c r="E105" s="132"/>
      <c r="F105" s="132"/>
      <c r="G105" s="132"/>
      <c r="H105" s="132"/>
      <c r="I105" s="132"/>
      <c r="J105" s="132"/>
      <c r="K105" s="132"/>
      <c r="L105" s="132"/>
      <c r="M105" s="132"/>
    </row>
    <row r="106" spans="1:14" hidden="1">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9" spans="2:15" ht="17.25">
      <c r="B1019" s="32" t="s">
        <v>1014</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1668</v>
      </c>
      <c r="C1021" s="32"/>
      <c r="D1021" s="32"/>
      <c r="E1021" s="32"/>
      <c r="F1021" s="32"/>
      <c r="G1021" s="32"/>
      <c r="H1021" s="32"/>
      <c r="I1021" s="32"/>
      <c r="J1021" s="32"/>
      <c r="K1021" s="32"/>
      <c r="L1021" s="32"/>
      <c r="M1021" s="32"/>
      <c r="N1021" s="32"/>
    </row>
    <row r="1022" spans="2:15" ht="15" customHeight="1"/>
    <row r="1023" spans="2:15" ht="53.45" customHeight="1">
      <c r="B1023" s="854" t="s">
        <v>1849</v>
      </c>
      <c r="C1023" s="855"/>
      <c r="D1023" s="855"/>
      <c r="E1023" s="855"/>
      <c r="F1023" s="855"/>
      <c r="G1023" s="855"/>
      <c r="H1023" s="855"/>
      <c r="I1023" s="855"/>
      <c r="J1023" s="855"/>
      <c r="K1023" s="855"/>
      <c r="L1023" s="855"/>
      <c r="M1023" s="855"/>
      <c r="N1023" s="856"/>
      <c r="O1023" s="144"/>
    </row>
    <row r="1024" spans="2:15" ht="17.25">
      <c r="B1024" s="32"/>
      <c r="C1024" s="32"/>
      <c r="D1024" s="32"/>
      <c r="E1024" s="32"/>
      <c r="F1024" s="32"/>
      <c r="G1024" s="32"/>
      <c r="H1024" s="32"/>
      <c r="I1024" s="32"/>
      <c r="J1024" s="32"/>
      <c r="K1024" s="32"/>
      <c r="L1024" s="32"/>
      <c r="M1024" s="32"/>
      <c r="N1024" s="32"/>
    </row>
    <row r="1025" spans="2:14" ht="17.25">
      <c r="B1025" s="50" t="s">
        <v>1669</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857">
        <v>1</v>
      </c>
      <c r="E1027" s="857"/>
      <c r="F1027" s="857"/>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313">
        <v>2020</v>
      </c>
      <c r="G1030" s="313">
        <v>2021</v>
      </c>
      <c r="H1030" s="313">
        <v>2022</v>
      </c>
      <c r="I1030" s="313">
        <v>2023</v>
      </c>
      <c r="J1030" s="313">
        <v>2024</v>
      </c>
      <c r="K1030" s="795"/>
      <c r="L1030" s="796"/>
      <c r="M1030" s="796"/>
      <c r="N1030" s="797"/>
    </row>
    <row r="1031" spans="2:14" ht="68.45" customHeight="1">
      <c r="B1031" s="403">
        <v>1</v>
      </c>
      <c r="C1031" s="598" t="s">
        <v>1856</v>
      </c>
      <c r="D1031" s="599">
        <f>E1031/80*100</f>
        <v>1886932.17</v>
      </c>
      <c r="E1031" s="599">
        <v>1509545.736</v>
      </c>
      <c r="F1031" s="402">
        <v>0</v>
      </c>
      <c r="G1031" s="402">
        <v>124000</v>
      </c>
      <c r="H1031" s="402">
        <v>157568.51252500003</v>
      </c>
      <c r="I1031" s="402">
        <v>287157.28975550004</v>
      </c>
      <c r="J1031" s="402">
        <v>283377.0271605</v>
      </c>
      <c r="K1031" s="790" t="s">
        <v>1857</v>
      </c>
      <c r="L1031" s="791"/>
      <c r="M1031" s="791"/>
      <c r="N1031" s="792"/>
    </row>
    <row r="1032" spans="2:14" hidden="1">
      <c r="B1032" s="403">
        <v>2</v>
      </c>
      <c r="C1032" s="401"/>
      <c r="D1032" s="205"/>
      <c r="E1032" s="205"/>
      <c r="F1032" s="402"/>
      <c r="G1032" s="402"/>
      <c r="H1032" s="402"/>
      <c r="I1032" s="402"/>
      <c r="J1032" s="402"/>
      <c r="K1032" s="790"/>
      <c r="L1032" s="791"/>
      <c r="M1032" s="791"/>
      <c r="N1032" s="792"/>
    </row>
    <row r="1033" spans="2:14" hidden="1">
      <c r="B1033" s="403">
        <v>3</v>
      </c>
      <c r="C1033" s="401"/>
      <c r="D1033" s="205"/>
      <c r="E1033" s="205"/>
      <c r="F1033" s="402"/>
      <c r="G1033" s="402"/>
      <c r="H1033" s="402"/>
      <c r="I1033" s="402"/>
      <c r="J1033" s="402"/>
      <c r="K1033" s="790"/>
      <c r="L1033" s="791"/>
      <c r="M1033" s="791"/>
      <c r="N1033" s="792"/>
    </row>
    <row r="1034" spans="2:14" hidden="1">
      <c r="B1034" s="403">
        <v>4</v>
      </c>
      <c r="C1034" s="401"/>
      <c r="D1034" s="205"/>
      <c r="E1034" s="205"/>
      <c r="F1034" s="402"/>
      <c r="G1034" s="402"/>
      <c r="H1034" s="402"/>
      <c r="I1034" s="402"/>
      <c r="J1034" s="402"/>
      <c r="K1034" s="790"/>
      <c r="L1034" s="791"/>
      <c r="M1034" s="791"/>
      <c r="N1034" s="792"/>
    </row>
    <row r="1035" spans="2:14" hidden="1">
      <c r="B1035" s="403">
        <v>5</v>
      </c>
      <c r="C1035" s="401"/>
      <c r="D1035" s="205"/>
      <c r="E1035" s="205"/>
      <c r="F1035" s="402"/>
      <c r="G1035" s="402"/>
      <c r="H1035" s="402"/>
      <c r="I1035" s="402"/>
      <c r="J1035" s="402"/>
      <c r="K1035" s="790"/>
      <c r="L1035" s="791"/>
      <c r="M1035" s="791"/>
      <c r="N1035" s="792"/>
    </row>
    <row r="1036" spans="2:14" hidden="1">
      <c r="B1036" s="403">
        <v>6</v>
      </c>
      <c r="C1036" s="401"/>
      <c r="D1036" s="205"/>
      <c r="E1036" s="205"/>
      <c r="F1036" s="402"/>
      <c r="G1036" s="402"/>
      <c r="H1036" s="402"/>
      <c r="I1036" s="402"/>
      <c r="J1036" s="402"/>
      <c r="K1036" s="790"/>
      <c r="L1036" s="791"/>
      <c r="M1036" s="791"/>
      <c r="N1036" s="792"/>
    </row>
    <row r="1037" spans="2:14" hidden="1">
      <c r="B1037" s="403">
        <v>7</v>
      </c>
      <c r="C1037" s="401"/>
      <c r="D1037" s="205"/>
      <c r="E1037" s="205"/>
      <c r="F1037" s="402"/>
      <c r="G1037" s="402"/>
      <c r="H1037" s="402"/>
      <c r="I1037" s="402"/>
      <c r="J1037" s="402"/>
      <c r="K1037" s="790"/>
      <c r="L1037" s="791"/>
      <c r="M1037" s="791"/>
      <c r="N1037" s="792"/>
    </row>
    <row r="1038" spans="2:14" hidden="1">
      <c r="B1038" s="403">
        <v>8</v>
      </c>
      <c r="C1038" s="401"/>
      <c r="D1038" s="205"/>
      <c r="E1038" s="205"/>
      <c r="F1038" s="402"/>
      <c r="G1038" s="402"/>
      <c r="H1038" s="402"/>
      <c r="I1038" s="402"/>
      <c r="J1038" s="402"/>
      <c r="K1038" s="790"/>
      <c r="L1038" s="791"/>
      <c r="M1038" s="791"/>
      <c r="N1038" s="792"/>
    </row>
    <row r="1039" spans="2:14" hidden="1">
      <c r="B1039" s="403">
        <v>9</v>
      </c>
      <c r="C1039" s="401"/>
      <c r="D1039" s="205"/>
      <c r="E1039" s="205"/>
      <c r="F1039" s="402"/>
      <c r="G1039" s="402"/>
      <c r="H1039" s="402"/>
      <c r="I1039" s="402"/>
      <c r="J1039" s="402"/>
      <c r="K1039" s="790"/>
      <c r="L1039" s="791"/>
      <c r="M1039" s="791"/>
      <c r="N1039" s="792"/>
    </row>
    <row r="1040" spans="2:14" hidden="1">
      <c r="B1040" s="403">
        <v>10</v>
      </c>
      <c r="C1040" s="401"/>
      <c r="D1040" s="205"/>
      <c r="E1040" s="205"/>
      <c r="F1040" s="402"/>
      <c r="G1040" s="402"/>
      <c r="H1040" s="402"/>
      <c r="I1040" s="402"/>
      <c r="J1040" s="402"/>
      <c r="K1040" s="790"/>
      <c r="L1040" s="791"/>
      <c r="M1040" s="791"/>
      <c r="N1040" s="792"/>
    </row>
    <row r="1041" spans="2:14" hidden="1">
      <c r="B1041" s="403">
        <v>11</v>
      </c>
      <c r="C1041" s="401"/>
      <c r="D1041" s="205"/>
      <c r="E1041" s="205"/>
      <c r="F1041" s="402"/>
      <c r="G1041" s="402"/>
      <c r="H1041" s="402"/>
      <c r="I1041" s="402"/>
      <c r="J1041" s="402"/>
      <c r="K1041" s="790"/>
      <c r="L1041" s="791"/>
      <c r="M1041" s="791"/>
      <c r="N1041" s="792"/>
    </row>
    <row r="1042" spans="2:14" hidden="1">
      <c r="B1042" s="403">
        <v>12</v>
      </c>
      <c r="C1042" s="401"/>
      <c r="D1042" s="205"/>
      <c r="E1042" s="205"/>
      <c r="F1042" s="402"/>
      <c r="G1042" s="402"/>
      <c r="H1042" s="402"/>
      <c r="I1042" s="402"/>
      <c r="J1042" s="402"/>
      <c r="K1042" s="790"/>
      <c r="L1042" s="791"/>
      <c r="M1042" s="791"/>
      <c r="N1042" s="792"/>
    </row>
    <row r="1043" spans="2:14" hidden="1">
      <c r="B1043" s="403">
        <v>13</v>
      </c>
      <c r="C1043" s="401"/>
      <c r="D1043" s="205"/>
      <c r="E1043" s="205"/>
      <c r="F1043" s="402"/>
      <c r="G1043" s="402"/>
      <c r="H1043" s="402"/>
      <c r="I1043" s="402"/>
      <c r="J1043" s="402"/>
      <c r="K1043" s="790"/>
      <c r="L1043" s="791"/>
      <c r="M1043" s="791"/>
      <c r="N1043" s="792"/>
    </row>
    <row r="1044" spans="2:14" hidden="1">
      <c r="B1044" s="403">
        <v>14</v>
      </c>
      <c r="C1044" s="401"/>
      <c r="D1044" s="205"/>
      <c r="E1044" s="205"/>
      <c r="F1044" s="402"/>
      <c r="G1044" s="402"/>
      <c r="H1044" s="402"/>
      <c r="I1044" s="402"/>
      <c r="J1044" s="402"/>
      <c r="K1044" s="790"/>
      <c r="L1044" s="791"/>
      <c r="M1044" s="791"/>
      <c r="N1044" s="792"/>
    </row>
    <row r="1045" spans="2:14" hidden="1">
      <c r="B1045" s="403">
        <v>15</v>
      </c>
      <c r="C1045" s="401"/>
      <c r="D1045" s="205"/>
      <c r="E1045" s="205"/>
      <c r="F1045" s="402"/>
      <c r="G1045" s="402"/>
      <c r="H1045" s="402"/>
      <c r="I1045" s="402"/>
      <c r="J1045" s="402"/>
      <c r="K1045" s="790"/>
      <c r="L1045" s="791"/>
      <c r="M1045" s="791"/>
      <c r="N1045" s="792"/>
    </row>
    <row r="1046" spans="2:14" hidden="1">
      <c r="B1046" s="403">
        <v>16</v>
      </c>
      <c r="C1046" s="401"/>
      <c r="D1046" s="205"/>
      <c r="E1046" s="205"/>
      <c r="F1046" s="402"/>
      <c r="G1046" s="402"/>
      <c r="H1046" s="402"/>
      <c r="I1046" s="402"/>
      <c r="J1046" s="402"/>
      <c r="K1046" s="790"/>
      <c r="L1046" s="791"/>
      <c r="M1046" s="791"/>
      <c r="N1046" s="792"/>
    </row>
    <row r="1047" spans="2:14" hidden="1">
      <c r="B1047" s="403">
        <v>17</v>
      </c>
      <c r="C1047" s="401"/>
      <c r="D1047" s="205"/>
      <c r="E1047" s="205"/>
      <c r="F1047" s="402"/>
      <c r="G1047" s="402"/>
      <c r="H1047" s="402"/>
      <c r="I1047" s="402"/>
      <c r="J1047" s="402"/>
      <c r="K1047" s="790"/>
      <c r="L1047" s="791"/>
      <c r="M1047" s="791"/>
      <c r="N1047" s="792"/>
    </row>
    <row r="1048" spans="2:14" hidden="1">
      <c r="B1048" s="403">
        <v>18</v>
      </c>
      <c r="C1048" s="401"/>
      <c r="D1048" s="205"/>
      <c r="E1048" s="205"/>
      <c r="F1048" s="402"/>
      <c r="G1048" s="402"/>
      <c r="H1048" s="402"/>
      <c r="I1048" s="402"/>
      <c r="J1048" s="402"/>
      <c r="K1048" s="790"/>
      <c r="L1048" s="791"/>
      <c r="M1048" s="791"/>
      <c r="N1048" s="792"/>
    </row>
    <row r="1049" spans="2:14" hidden="1">
      <c r="B1049" s="403">
        <v>19</v>
      </c>
      <c r="C1049" s="401"/>
      <c r="D1049" s="205"/>
      <c r="E1049" s="205"/>
      <c r="F1049" s="402"/>
      <c r="G1049" s="402"/>
      <c r="H1049" s="402"/>
      <c r="I1049" s="402"/>
      <c r="J1049" s="402"/>
      <c r="K1049" s="790"/>
      <c r="L1049" s="791"/>
      <c r="M1049" s="791"/>
      <c r="N1049" s="792"/>
    </row>
    <row r="1050" spans="2:14" hidden="1">
      <c r="B1050" s="403">
        <v>20</v>
      </c>
      <c r="C1050" s="401"/>
      <c r="D1050" s="404"/>
      <c r="E1050" s="402"/>
      <c r="F1050" s="402"/>
      <c r="G1050" s="402"/>
      <c r="H1050" s="402"/>
      <c r="I1050" s="402"/>
      <c r="J1050" s="402"/>
      <c r="K1050" s="790"/>
      <c r="L1050" s="791"/>
      <c r="M1050" s="791"/>
      <c r="N1050" s="792"/>
    </row>
    <row r="1051" spans="2:14" ht="15" customHeight="1">
      <c r="B1051" s="132"/>
      <c r="C1051" s="132"/>
      <c r="D1051" s="132"/>
      <c r="E1051" s="132"/>
      <c r="F1051" s="132"/>
      <c r="G1051" s="132"/>
      <c r="H1051" s="132"/>
      <c r="I1051" s="132"/>
      <c r="J1051" s="132"/>
      <c r="K1051" s="132"/>
      <c r="L1051" s="132"/>
      <c r="M1051" s="132"/>
      <c r="N1051" s="132"/>
    </row>
    <row r="1052" spans="2:14" ht="15" customHeight="1">
      <c r="F1052" s="455"/>
      <c r="G1052" s="455"/>
      <c r="H1052" s="455"/>
      <c r="I1052" s="455"/>
      <c r="J1052" s="455"/>
      <c r="K1052" s="455"/>
      <c r="L1052" s="455"/>
    </row>
  </sheetData>
  <sheetProtection formatCells="0" formatColumns="0" formatRows="0" insertHyperlinks="0"/>
  <dataConsolidate/>
  <mergeCells count="1546">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B65:N65"/>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309" priority="54">
      <formula>$A$2="PRINT"</formula>
    </cfRule>
  </conditionalFormatting>
  <conditionalFormatting sqref="E71">
    <cfRule type="expression" dxfId="1308" priority="53">
      <formula>$A$2="PRINT"</formula>
    </cfRule>
  </conditionalFormatting>
  <conditionalFormatting sqref="E90">
    <cfRule type="expression" dxfId="1307" priority="52">
      <formula>$A$2="PRINT"</formula>
    </cfRule>
  </conditionalFormatting>
  <conditionalFormatting sqref="E109">
    <cfRule type="expression" dxfId="1306" priority="51">
      <formula>$A$2="PRINT"</formula>
    </cfRule>
  </conditionalFormatting>
  <conditionalFormatting sqref="E128">
    <cfRule type="expression" dxfId="1305" priority="50">
      <formula>$A$2="PRINT"</formula>
    </cfRule>
  </conditionalFormatting>
  <conditionalFormatting sqref="E147">
    <cfRule type="expression" dxfId="1304" priority="49">
      <formula>$A$2="PRINT"</formula>
    </cfRule>
  </conditionalFormatting>
  <conditionalFormatting sqref="E166">
    <cfRule type="expression" dxfId="1303" priority="48">
      <formula>$A$2="PRINT"</formula>
    </cfRule>
  </conditionalFormatting>
  <conditionalFormatting sqref="E185">
    <cfRule type="expression" dxfId="1302" priority="47">
      <formula>$A$2="PRINT"</formula>
    </cfRule>
  </conditionalFormatting>
  <conditionalFormatting sqref="E204">
    <cfRule type="expression" dxfId="1301" priority="46">
      <formula>$A$2="PRINT"</formula>
    </cfRule>
  </conditionalFormatting>
  <conditionalFormatting sqref="E223">
    <cfRule type="expression" dxfId="1300" priority="45">
      <formula>$A$2="PRINT"</formula>
    </cfRule>
  </conditionalFormatting>
  <conditionalFormatting sqref="E242">
    <cfRule type="expression" dxfId="1299" priority="44">
      <formula>$A$2="PRINT"</formula>
    </cfRule>
  </conditionalFormatting>
  <conditionalFormatting sqref="E261">
    <cfRule type="expression" dxfId="1298" priority="43">
      <formula>$A$2="PRINT"</formula>
    </cfRule>
  </conditionalFormatting>
  <conditionalFormatting sqref="E280">
    <cfRule type="expression" dxfId="1297" priority="42">
      <formula>$A$2="PRINT"</formula>
    </cfRule>
  </conditionalFormatting>
  <conditionalFormatting sqref="E299">
    <cfRule type="expression" dxfId="1296" priority="41">
      <formula>$A$2="PRINT"</formula>
    </cfRule>
  </conditionalFormatting>
  <conditionalFormatting sqref="E318">
    <cfRule type="expression" dxfId="1295" priority="40">
      <formula>$A$2="PRINT"</formula>
    </cfRule>
  </conditionalFormatting>
  <conditionalFormatting sqref="E337">
    <cfRule type="expression" dxfId="1294" priority="39">
      <formula>$A$2="PRINT"</formula>
    </cfRule>
  </conditionalFormatting>
  <conditionalFormatting sqref="E356">
    <cfRule type="expression" dxfId="1293" priority="38">
      <formula>$A$2="PRINT"</formula>
    </cfRule>
  </conditionalFormatting>
  <conditionalFormatting sqref="E375">
    <cfRule type="expression" dxfId="1292" priority="37">
      <formula>$A$2="PRINT"</formula>
    </cfRule>
  </conditionalFormatting>
  <conditionalFormatting sqref="E394">
    <cfRule type="expression" dxfId="1291" priority="36">
      <formula>$A$2="PRINT"</formula>
    </cfRule>
  </conditionalFormatting>
  <conditionalFormatting sqref="E413">
    <cfRule type="expression" dxfId="1290" priority="35">
      <formula>$A$2="PRINT"</formula>
    </cfRule>
  </conditionalFormatting>
  <conditionalFormatting sqref="E432">
    <cfRule type="expression" dxfId="1289" priority="34">
      <formula>$A$2="PRINT"</formula>
    </cfRule>
  </conditionalFormatting>
  <conditionalFormatting sqref="E451">
    <cfRule type="expression" dxfId="1288" priority="33">
      <formula>$A$2="PRINT"</formula>
    </cfRule>
  </conditionalFormatting>
  <conditionalFormatting sqref="E470">
    <cfRule type="expression" dxfId="1287" priority="32">
      <formula>$A$2="PRINT"</formula>
    </cfRule>
  </conditionalFormatting>
  <conditionalFormatting sqref="E489">
    <cfRule type="expression" dxfId="1286" priority="31">
      <formula>$A$2="PRINT"</formula>
    </cfRule>
  </conditionalFormatting>
  <conditionalFormatting sqref="E508">
    <cfRule type="expression" dxfId="1285" priority="30">
      <formula>$A$2="PRINT"</formula>
    </cfRule>
  </conditionalFormatting>
  <conditionalFormatting sqref="E527">
    <cfRule type="expression" dxfId="1284" priority="29">
      <formula>$A$2="PRINT"</formula>
    </cfRule>
  </conditionalFormatting>
  <conditionalFormatting sqref="E546">
    <cfRule type="expression" dxfId="1283" priority="28">
      <formula>$A$2="PRINT"</formula>
    </cfRule>
  </conditionalFormatting>
  <conditionalFormatting sqref="E565">
    <cfRule type="expression" dxfId="1282" priority="27">
      <formula>$A$2="PRINT"</formula>
    </cfRule>
  </conditionalFormatting>
  <conditionalFormatting sqref="E584">
    <cfRule type="expression" dxfId="1281" priority="26">
      <formula>$A$2="PRINT"</formula>
    </cfRule>
  </conditionalFormatting>
  <conditionalFormatting sqref="E603">
    <cfRule type="expression" dxfId="1280" priority="25">
      <formula>$A$2="PRINT"</formula>
    </cfRule>
  </conditionalFormatting>
  <conditionalFormatting sqref="E622">
    <cfRule type="expression" dxfId="1279" priority="24">
      <formula>$A$2="PRINT"</formula>
    </cfRule>
  </conditionalFormatting>
  <conditionalFormatting sqref="E641">
    <cfRule type="expression" dxfId="1278" priority="23">
      <formula>$A$2="PRINT"</formula>
    </cfRule>
  </conditionalFormatting>
  <conditionalFormatting sqref="E660">
    <cfRule type="expression" dxfId="1277" priority="22">
      <formula>$A$2="PRINT"</formula>
    </cfRule>
  </conditionalFormatting>
  <conditionalFormatting sqref="E679">
    <cfRule type="expression" dxfId="1276" priority="21">
      <formula>$A$2="PRINT"</formula>
    </cfRule>
  </conditionalFormatting>
  <conditionalFormatting sqref="E698">
    <cfRule type="expression" dxfId="1275" priority="20">
      <formula>$A$2="PRINT"</formula>
    </cfRule>
  </conditionalFormatting>
  <conditionalFormatting sqref="E717">
    <cfRule type="expression" dxfId="1274" priority="19">
      <formula>$A$2="PRINT"</formula>
    </cfRule>
  </conditionalFormatting>
  <conditionalFormatting sqref="E736">
    <cfRule type="expression" dxfId="1273" priority="18">
      <formula>$A$2="PRINT"</formula>
    </cfRule>
  </conditionalFormatting>
  <conditionalFormatting sqref="E755">
    <cfRule type="expression" dxfId="1272" priority="17">
      <formula>$A$2="PRINT"</formula>
    </cfRule>
  </conditionalFormatting>
  <conditionalFormatting sqref="E774">
    <cfRule type="expression" dxfId="1271" priority="16">
      <formula>$A$2="PRINT"</formula>
    </cfRule>
  </conditionalFormatting>
  <conditionalFormatting sqref="E793">
    <cfRule type="expression" dxfId="1270" priority="15">
      <formula>$A$2="PRINT"</formula>
    </cfRule>
  </conditionalFormatting>
  <conditionalFormatting sqref="E812">
    <cfRule type="expression" dxfId="1269" priority="14">
      <formula>$A$2="PRINT"</formula>
    </cfRule>
  </conditionalFormatting>
  <conditionalFormatting sqref="E831">
    <cfRule type="expression" dxfId="1268" priority="13">
      <formula>$A$2="PRINT"</formula>
    </cfRule>
  </conditionalFormatting>
  <conditionalFormatting sqref="E850">
    <cfRule type="expression" dxfId="1267" priority="12">
      <formula>$A$2="PRINT"</formula>
    </cfRule>
  </conditionalFormatting>
  <conditionalFormatting sqref="E869">
    <cfRule type="expression" dxfId="1266" priority="11">
      <formula>$A$2="PRINT"</formula>
    </cfRule>
  </conditionalFormatting>
  <conditionalFormatting sqref="E888">
    <cfRule type="expression" dxfId="1265" priority="10">
      <formula>$A$2="PRINT"</formula>
    </cfRule>
  </conditionalFormatting>
  <conditionalFormatting sqref="E907">
    <cfRule type="expression" dxfId="1264" priority="9">
      <formula>$A$2="PRINT"</formula>
    </cfRule>
  </conditionalFormatting>
  <conditionalFormatting sqref="E926">
    <cfRule type="expression" dxfId="1263" priority="8">
      <formula>$A$2="PRINT"</formula>
    </cfRule>
  </conditionalFormatting>
  <conditionalFormatting sqref="E945">
    <cfRule type="expression" dxfId="1262" priority="7">
      <formula>$A$2="PRINT"</formula>
    </cfRule>
  </conditionalFormatting>
  <conditionalFormatting sqref="E964">
    <cfRule type="expression" dxfId="1261" priority="6">
      <formula>$A$2="PRINT"</formula>
    </cfRule>
  </conditionalFormatting>
  <conditionalFormatting sqref="E983">
    <cfRule type="expression" dxfId="1260" priority="5">
      <formula>$A$2="PRINT"</formula>
    </cfRule>
  </conditionalFormatting>
  <conditionalFormatting sqref="E1002">
    <cfRule type="expression" dxfId="1259" priority="4">
      <formula>$A$2="PRINT"</formula>
    </cfRule>
  </conditionalFormatting>
  <conditionalFormatting sqref="B1031 B1033 B1035 B1037 B1039 B1041 B1043 B1045 B1047 B1049:B1050">
    <cfRule type="expression" dxfId="1258" priority="3">
      <formula>$A$2="PRINT"</formula>
    </cfRule>
  </conditionalFormatting>
  <conditionalFormatting sqref="B1032 B1034 B1036 B1038 B1040 B1042 B1044 B1046 B1048">
    <cfRule type="expression" dxfId="1257" priority="2">
      <formula>$A$2="PRINT"</formula>
    </cfRule>
  </conditionalFormatting>
  <conditionalFormatting sqref="D1027:F1027">
    <cfRule type="expression" dxfId="1256" priority="1">
      <formula>$A$2="PRINT"</formula>
    </cfRule>
  </conditionalFormatting>
  <dataValidations count="5">
    <dataValidation type="list" allowBlank="1" showErrorMessage="1" sqref="D1027:F1027" xr:uid="{00000000-0002-0000-0E00-000000000000}">
      <formula1>"Click to select number of new other investments,0,1,2,3,4,5,6,7,8,9,10,11,12,13,14,15,16,17,18,19,20"</formula1>
    </dataValidation>
    <dataValidation type="list" allowBlank="1" showErrorMessage="1" sqref="D6:F6" xr:uid="{00000000-0002-0000-0E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0E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0E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0E00-000004000000}">
      <formula1>"Click to select,Yes,No"</formula1>
    </dataValidation>
  </dataValidations>
  <hyperlinks>
    <hyperlink ref="B10" location="'2.1 Investments_ANSP#1'!B83" tooltip="Go to Project #" display="1" xr:uid="{00000000-0004-0000-0E00-000000000000}"/>
    <hyperlink ref="B11" location="'2.1 Investments_ANSP#1'!B102" tooltip="Go to Project #" display="2" xr:uid="{00000000-0004-0000-0E00-000001000000}"/>
    <hyperlink ref="B12" location="'2.1 Investments_ANSP#1'!B121" tooltip="Go to Project #" display="3" xr:uid="{00000000-0004-0000-0E00-000002000000}"/>
    <hyperlink ref="B13" location="'2.1 Investments_ANSP#1'!B140" tooltip="Go to Project #" display="4" xr:uid="{00000000-0004-0000-0E00-000003000000}"/>
    <hyperlink ref="B14" location="'2.1 Investments_ANSP#1'!B159" tooltip="Go to Project #" display="5" xr:uid="{00000000-0004-0000-0E00-000004000000}"/>
    <hyperlink ref="B15" location="'2.1 Investments_ANSP#1'!B178" tooltip="Go to Project #" display="6" xr:uid="{00000000-0004-0000-0E00-000005000000}"/>
    <hyperlink ref="B16" location="'2.1 Investments_ANSP#1'!B197" tooltip="Go to Project #" display="7" xr:uid="{00000000-0004-0000-0E00-000006000000}"/>
    <hyperlink ref="B17" location="'2.1 Investments_ANSP#1'!B216" tooltip="Go to Project #" display="8" xr:uid="{00000000-0004-0000-0E00-000007000000}"/>
    <hyperlink ref="B18" location="'2.1 Investments_ANSP#1'!B235" tooltip="Go to Project #" display="9" xr:uid="{00000000-0004-0000-0E00-000008000000}"/>
    <hyperlink ref="B19" location="'2.1 Investments_ANSP#1'!B254" tooltip="Go to Project #" display="10" xr:uid="{00000000-0004-0000-0E00-000009000000}"/>
    <hyperlink ref="B20" location="'2.1 Investments_ANSP#1'!B273" tooltip="Go to Project #" display="11" xr:uid="{00000000-0004-0000-0E00-00000A000000}"/>
    <hyperlink ref="B21" location="'2.1 Investments_ANSP#1'!B292" tooltip="Go to Project #" display="12" xr:uid="{00000000-0004-0000-0E00-00000B000000}"/>
    <hyperlink ref="B22" location="'2.1 Investments_ANSP#1'!B311" tooltip="Go to Project #" display="13" xr:uid="{00000000-0004-0000-0E00-00000C000000}"/>
    <hyperlink ref="B23" location="'2.1 Investments_ANSP#1'!B330" tooltip="Go to Project #" display="14" xr:uid="{00000000-0004-0000-0E00-00000D000000}"/>
    <hyperlink ref="B24" location="'2.1 Investments_ANSP#1'!B349" tooltip="Go to Project #" display="15" xr:uid="{00000000-0004-0000-0E00-00000E000000}"/>
    <hyperlink ref="B25" location="'2.1 Investments_ANSP#1'!B368" tooltip="Go to Project #" display="16" xr:uid="{00000000-0004-0000-0E00-00000F000000}"/>
    <hyperlink ref="B26" location="'2.1 Investments_ANSP#1'!B387" tooltip="Go to Project #" display="17" xr:uid="{00000000-0004-0000-0E00-000010000000}"/>
    <hyperlink ref="B27" location="'2.1 Investments_ANSP#1'!B406" tooltip="Go to Project #" display="18" xr:uid="{00000000-0004-0000-0E00-000011000000}"/>
    <hyperlink ref="B28" location="'2.1 Investments_ANSP#1'!B425" tooltip="Go to Project #" display="19" xr:uid="{00000000-0004-0000-0E00-000012000000}"/>
    <hyperlink ref="B29" location="'2.1 Investments_ANSP#1'!B444" tooltip="Go to Project #" display="20" xr:uid="{00000000-0004-0000-0E00-000013000000}"/>
    <hyperlink ref="B30" location="'2.1 Investments_ANSP#1'!B463" tooltip="Go to Project #" display="21" xr:uid="{00000000-0004-0000-0E00-000014000000}"/>
    <hyperlink ref="B31" location="'2.1 Investments_ANSP#1'!B482" tooltip="Go to Project #" display="22" xr:uid="{00000000-0004-0000-0E00-000015000000}"/>
    <hyperlink ref="B32" location="'2.1 Investments_ANSP#1'!B501" tooltip="Go to Project #" display="23" xr:uid="{00000000-0004-0000-0E00-000016000000}"/>
    <hyperlink ref="B33" location="'2.1 Investments_ANSP#1'!B520" tooltip="Go to Project #" display="24" xr:uid="{00000000-0004-0000-0E00-000017000000}"/>
    <hyperlink ref="B34" location="'2.1 Investments_ANSP#1'!B539" tooltip="Go to Project #" display="25" xr:uid="{00000000-0004-0000-0E00-000018000000}"/>
    <hyperlink ref="B35" location="'2.1 Investments_ANSP#1'!B558" tooltip="Go to Project #" display="26" xr:uid="{00000000-0004-0000-0E00-000019000000}"/>
    <hyperlink ref="B36" location="'2.1 Investments_ANSP#1'!B577" tooltip="Go to Project #" display="27" xr:uid="{00000000-0004-0000-0E00-00001A000000}"/>
    <hyperlink ref="B37" location="'2.1 Investments_ANSP#1'!B596" tooltip="Go to Project #" display="28" xr:uid="{00000000-0004-0000-0E00-00001B000000}"/>
    <hyperlink ref="B38" location="'2.1 Investments_ANSP#1'!B615" tooltip="Go to Project #" display="29" xr:uid="{00000000-0004-0000-0E00-00001C000000}"/>
    <hyperlink ref="B39" location="'2.1 Investments_ANSP#1'!B634" tooltip="Go to Project #" display="30" xr:uid="{00000000-0004-0000-0E00-00001D000000}"/>
    <hyperlink ref="B40" location="'2.1 Investments_ANSP#1'!B653" tooltip="Go to Project #" display="31" xr:uid="{00000000-0004-0000-0E00-00001E000000}"/>
    <hyperlink ref="B41" location="'2.1 Investments_ANSP#1'!B672" tooltip="Go to Project #" display="32" xr:uid="{00000000-0004-0000-0E00-00001F000000}"/>
    <hyperlink ref="B42" location="'2.1 Investments_ANSP#1'!B691" tooltip="Go to Project #" display="33" xr:uid="{00000000-0004-0000-0E00-000020000000}"/>
    <hyperlink ref="B43" location="'2.1 Investments_ANSP#1'!B710" tooltip="Go to Project #" display="34" xr:uid="{00000000-0004-0000-0E00-000021000000}"/>
    <hyperlink ref="B44" location="'2.1 Investments_ANSP#1'!B729" tooltip="Go to Project #" display="35" xr:uid="{00000000-0004-0000-0E00-000022000000}"/>
    <hyperlink ref="B45" location="'2.1 Investments_ANSP#1'!B748" tooltip="Go to Project #" display="36" xr:uid="{00000000-0004-0000-0E00-000023000000}"/>
    <hyperlink ref="B46" location="'2.1 Investments_ANSP#1'!B767" tooltip="Go to Project #" display="37" xr:uid="{00000000-0004-0000-0E00-000024000000}"/>
    <hyperlink ref="B47" location="'2.1 Investments_ANSP#1'!B786" tooltip="Go to Project #" display="38" xr:uid="{00000000-0004-0000-0E00-000025000000}"/>
    <hyperlink ref="B48" location="'2.1 Investments_ANSP#1'!B805" tooltip="Go to Project #" display="39" xr:uid="{00000000-0004-0000-0E00-000026000000}"/>
    <hyperlink ref="B49" location="'2.1 Investments_ANSP#1'!B824" tooltip="Go to Project #" display="40" xr:uid="{00000000-0004-0000-0E00-000027000000}"/>
    <hyperlink ref="B50" location="'2.1 Investments_ANSP#1'!B843" tooltip="Go to Project #" display="41" xr:uid="{00000000-0004-0000-0E00-000028000000}"/>
    <hyperlink ref="B51" location="'2.1 Investments_ANSP#1'!B862" tooltip="Go to Project #" display="42" xr:uid="{00000000-0004-0000-0E00-000029000000}"/>
    <hyperlink ref="B52" location="'2.1 Investments_ANSP#1'!B881" tooltip="Go to Project #" display="43" xr:uid="{00000000-0004-0000-0E00-00002A000000}"/>
    <hyperlink ref="B53" location="'2.1 Investments_ANSP#1'!B900" tooltip="Go to Project #" display="44" xr:uid="{00000000-0004-0000-0E00-00002B000000}"/>
    <hyperlink ref="B54" location="'2.1 Investments_ANSP#1'!B919" tooltip="Go to Project #" display="45" xr:uid="{00000000-0004-0000-0E00-00002C000000}"/>
    <hyperlink ref="B55" location="'2.1 Investments_ANSP#1'!B938" tooltip="Go to Project #" display="46" xr:uid="{00000000-0004-0000-0E00-00002D000000}"/>
    <hyperlink ref="B56" location="'2.1 Investments_ANSP#1'!B957" tooltip="Go to Project #" display="47" xr:uid="{00000000-0004-0000-0E00-00002E000000}"/>
    <hyperlink ref="B57" location="'2.1 Investments_ANSP#1'!B976" tooltip="Go to Project #" display="48" xr:uid="{00000000-0004-0000-0E00-00002F000000}"/>
    <hyperlink ref="B58" location="'2.1 Investments_ANSP#1'!B995" tooltip="Go to Project #" display="49" xr:uid="{00000000-0004-0000-0E00-000030000000}"/>
    <hyperlink ref="B59" location="'2.1 Investments_ANSP#1'!B1014" tooltip="Go to Project #" display="50" xr:uid="{00000000-0004-0000-0E00-000031000000}"/>
    <hyperlink ref="A69" location="'2.1 Investments_ANSP#1'!B4" tooltip="Go to top" display="'2.1 Investments_ANSP#1'!B4" xr:uid="{00000000-0004-0000-0E00-000032000000}"/>
    <hyperlink ref="A943" location="'2.1 Investments_ANSP#1'!B4" tooltip="Go to top" display="'2.1 Investments_ANSP#1'!B4" xr:uid="{00000000-0004-0000-0E00-000033000000}"/>
    <hyperlink ref="A962" location="'2.1 Investments_ANSP#1'!B4" tooltip="Go to top" display="'2.1 Investments_ANSP#1'!B4" xr:uid="{00000000-0004-0000-0E00-000034000000}"/>
    <hyperlink ref="A981" location="'2.1 Investments_ANSP#1'!B4" tooltip="Go to top" display="'2.1 Investments_ANSP#1'!B4" xr:uid="{00000000-0004-0000-0E00-000035000000}"/>
    <hyperlink ref="A1000" location="'2.1 Investments_ANSP#1'!B4" tooltip="Go to top" display="'2.1 Investments_ANSP#1'!B4" xr:uid="{00000000-0004-0000-0E00-000036000000}"/>
    <hyperlink ref="A88" location="'2.1 Investments_ANSP#1'!B4" tooltip="Go to top" display="'2.1 Investments_ANSP#1'!B4" xr:uid="{00000000-0004-0000-0E00-000037000000}"/>
    <hyperlink ref="A107" location="'2.1 Investments_ANSP#1'!B4" tooltip="Go to top" display="'2.1 Investments_ANSP#1'!B4" xr:uid="{00000000-0004-0000-0E00-000038000000}"/>
    <hyperlink ref="A126" location="'2.1 Investments_ANSP#1'!B4" tooltip="Go to top" display="'2.1 Investments_ANSP#1'!B4" xr:uid="{00000000-0004-0000-0E00-000039000000}"/>
    <hyperlink ref="A145" location="'2.1 Investments_ANSP#1'!B4" tooltip="Go to top" display="'2.1 Investments_ANSP#1'!B4" xr:uid="{00000000-0004-0000-0E00-00003A000000}"/>
    <hyperlink ref="A164" location="'2.1 Investments_ANSP#1'!B4" tooltip="Go to top" display="'2.1 Investments_ANSP#1'!B4" xr:uid="{00000000-0004-0000-0E00-00003B000000}"/>
    <hyperlink ref="A183" location="'2.1 Investments_ANSP#1'!B4" tooltip="Go to top" display="'2.1 Investments_ANSP#1'!B4" xr:uid="{00000000-0004-0000-0E00-00003C000000}"/>
    <hyperlink ref="A202" location="'2.1 Investments_ANSP#1'!B4" tooltip="Go to top" display="'2.1 Investments_ANSP#1'!B4" xr:uid="{00000000-0004-0000-0E00-00003D000000}"/>
    <hyperlink ref="A221" location="'2.1 Investments_ANSP#1'!B4" tooltip="Go to top" display="'2.1 Investments_ANSP#1'!B4" xr:uid="{00000000-0004-0000-0E00-00003E000000}"/>
    <hyperlink ref="A240" location="'2.1 Investments_ANSP#1'!B4" tooltip="Go to top" display="'2.1 Investments_ANSP#1'!B4" xr:uid="{00000000-0004-0000-0E00-00003F000000}"/>
    <hyperlink ref="A259" location="'2.1 Investments_ANSP#1'!B4" tooltip="Go to top" display="'2.1 Investments_ANSP#1'!B4" xr:uid="{00000000-0004-0000-0E00-000040000000}"/>
    <hyperlink ref="A278" location="'2.1 Investments_ANSP#1'!B4" tooltip="Go to top" display="'2.1 Investments_ANSP#1'!B4" xr:uid="{00000000-0004-0000-0E00-000041000000}"/>
    <hyperlink ref="A297" location="'2.1 Investments_ANSP#1'!B4" tooltip="Go to top" display="'2.1 Investments_ANSP#1'!B4" xr:uid="{00000000-0004-0000-0E00-000042000000}"/>
    <hyperlink ref="A316" location="'2.1 Investments_ANSP#1'!B4" tooltip="Go to top" display="'2.1 Investments_ANSP#1'!B4" xr:uid="{00000000-0004-0000-0E00-000043000000}"/>
    <hyperlink ref="A335" location="'2.1 Investments_ANSP#1'!B4" tooltip="Go to top" display="'2.1 Investments_ANSP#1'!B4" xr:uid="{00000000-0004-0000-0E00-000044000000}"/>
    <hyperlink ref="A354" location="'2.1 Investments_ANSP#1'!B4" tooltip="Go to top" display="'2.1 Investments_ANSP#1'!B4" xr:uid="{00000000-0004-0000-0E00-000045000000}"/>
    <hyperlink ref="A373" location="'2.1 Investments_ANSP#1'!B4" tooltip="Go to top" display="'2.1 Investments_ANSP#1'!B4" xr:uid="{00000000-0004-0000-0E00-000046000000}"/>
    <hyperlink ref="A392" location="'2.1 Investments_ANSP#1'!B4" tooltip="Go to top" display="'2.1 Investments_ANSP#1'!B4" xr:uid="{00000000-0004-0000-0E00-000047000000}"/>
    <hyperlink ref="A411" location="'2.1 Investments_ANSP#1'!B4" tooltip="Go to top" display="'2.1 Investments_ANSP#1'!B4" xr:uid="{00000000-0004-0000-0E00-000048000000}"/>
    <hyperlink ref="A430" location="'2.1 Investments_ANSP#1'!B4" tooltip="Go to top" display="'2.1 Investments_ANSP#1'!B4" xr:uid="{00000000-0004-0000-0E00-000049000000}"/>
    <hyperlink ref="A449" location="'2.1 Investments_ANSP#1'!B4" tooltip="Go to top" display="'2.1 Investments_ANSP#1'!B4" xr:uid="{00000000-0004-0000-0E00-00004A000000}"/>
    <hyperlink ref="A468" location="'2.1 Investments_ANSP#1'!B4" tooltip="Go to top" display="'2.1 Investments_ANSP#1'!B4" xr:uid="{00000000-0004-0000-0E00-00004B000000}"/>
    <hyperlink ref="A487" location="'2.1 Investments_ANSP#1'!B4" tooltip="Go to top" display="'2.1 Investments_ANSP#1'!B4" xr:uid="{00000000-0004-0000-0E00-00004C000000}"/>
    <hyperlink ref="A506" location="'2.1 Investments_ANSP#1'!B4" tooltip="Go to top" display="'2.1 Investments_ANSP#1'!B4" xr:uid="{00000000-0004-0000-0E00-00004D000000}"/>
    <hyperlink ref="A525" location="'2.1 Investments_ANSP#1'!B4" tooltip="Go to top" display="'2.1 Investments_ANSP#1'!B4" xr:uid="{00000000-0004-0000-0E00-00004E000000}"/>
    <hyperlink ref="A544" location="'2.1 Investments_ANSP#1'!B4" tooltip="Go to top" display="'2.1 Investments_ANSP#1'!B4" xr:uid="{00000000-0004-0000-0E00-00004F000000}"/>
    <hyperlink ref="A563" location="'2.1 Investments_ANSP#1'!B4" tooltip="Go to top" display="'2.1 Investments_ANSP#1'!B4" xr:uid="{00000000-0004-0000-0E00-000050000000}"/>
    <hyperlink ref="A582" location="'2.1 Investments_ANSP#1'!B4" tooltip="Go to top" display="'2.1 Investments_ANSP#1'!B4" xr:uid="{00000000-0004-0000-0E00-000051000000}"/>
    <hyperlink ref="A601" location="'2.1 Investments_ANSP#1'!B4" tooltip="Go to top" display="'2.1 Investments_ANSP#1'!B4" xr:uid="{00000000-0004-0000-0E00-000052000000}"/>
    <hyperlink ref="A620" location="'2.1 Investments_ANSP#1'!B4" tooltip="Go to top" display="'2.1 Investments_ANSP#1'!B4" xr:uid="{00000000-0004-0000-0E00-000053000000}"/>
    <hyperlink ref="A639" location="'2.1 Investments_ANSP#1'!B4" tooltip="Go to top" display="'2.1 Investments_ANSP#1'!B4" xr:uid="{00000000-0004-0000-0E00-000054000000}"/>
    <hyperlink ref="A658" location="'2.1 Investments_ANSP#1'!B4" tooltip="Go to top" display="'2.1 Investments_ANSP#1'!B4" xr:uid="{00000000-0004-0000-0E00-000055000000}"/>
    <hyperlink ref="A677" location="'2.1 Investments_ANSP#1'!B4" tooltip="Go to top" display="'2.1 Investments_ANSP#1'!B4" xr:uid="{00000000-0004-0000-0E00-000056000000}"/>
    <hyperlink ref="A696" location="'2.1 Investments_ANSP#1'!B4" tooltip="Go to top" display="'2.1 Investments_ANSP#1'!B4" xr:uid="{00000000-0004-0000-0E00-000057000000}"/>
    <hyperlink ref="A715" location="'2.1 Investments_ANSP#1'!B4" tooltip="Go to top" display="'2.1 Investments_ANSP#1'!B4" xr:uid="{00000000-0004-0000-0E00-000058000000}"/>
    <hyperlink ref="A734" location="'2.1 Investments_ANSP#1'!B4" tooltip="Go to top" display="'2.1 Investments_ANSP#1'!B4" xr:uid="{00000000-0004-0000-0E00-000059000000}"/>
    <hyperlink ref="A753" location="'2.1 Investments_ANSP#1'!B4" tooltip="Go to top" display="'2.1 Investments_ANSP#1'!B4" xr:uid="{00000000-0004-0000-0E00-00005A000000}"/>
    <hyperlink ref="A772" location="'2.1 Investments_ANSP#1'!B4" tooltip="Go to top" display="'2.1 Investments_ANSP#1'!B4" xr:uid="{00000000-0004-0000-0E00-00005B000000}"/>
    <hyperlink ref="A791" location="'2.1 Investments_ANSP#1'!B4" tooltip="Go to top" display="'2.1 Investments_ANSP#1'!B4" xr:uid="{00000000-0004-0000-0E00-00005C000000}"/>
    <hyperlink ref="A810" location="'2.1 Investments_ANSP#1'!B4" tooltip="Go to top" display="'2.1 Investments_ANSP#1'!B4" xr:uid="{00000000-0004-0000-0E00-00005D000000}"/>
    <hyperlink ref="A829" location="'2.1 Investments_ANSP#1'!B4" tooltip="Go to top" display="'2.1 Investments_ANSP#1'!B4" xr:uid="{00000000-0004-0000-0E00-00005E000000}"/>
    <hyperlink ref="A848" location="'2.1 Investments_ANSP#1'!B4" tooltip="Go to top" display="'2.1 Investments_ANSP#1'!B4" xr:uid="{00000000-0004-0000-0E00-00005F000000}"/>
    <hyperlink ref="A867" location="'2.1 Investments_ANSP#1'!B4" tooltip="Go to top" display="'2.1 Investments_ANSP#1'!B4" xr:uid="{00000000-0004-0000-0E00-000060000000}"/>
    <hyperlink ref="A886" location="'2.1 Investments_ANSP#1'!B4" tooltip="Go to top" display="'2.1 Investments_ANSP#1'!B4" xr:uid="{00000000-0004-0000-0E00-000061000000}"/>
    <hyperlink ref="A905" location="'2.1 Investments_ANSP#1'!B4" tooltip="Go to top" display="'2.1 Investments_ANSP#1'!B4" xr:uid="{00000000-0004-0000-0E00-000062000000}"/>
    <hyperlink ref="A924" location="'2.1 Investments_ANSP#1'!B4" tooltip="Go to top" display="'2.1 Investments_ANSP#1'!B4" xr:uid="{00000000-0004-0000-0E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0">
    <tabColor theme="2" tint="-0.249977111117893"/>
    <pageSetUpPr fitToPage="1"/>
  </sheetPr>
  <dimension ref="A1:Q1052"/>
  <sheetViews>
    <sheetView showGridLines="0" zoomScaleNormal="100" workbookViewId="0">
      <selection activeCell="B2" sqref="B2"/>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"2.3 - Investments - "&amp;'1.1 The situation'!$B$15</f>
        <v xml:space="preserve">2.3 - Investments - </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1015</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t="s">
        <v>1378</v>
      </c>
      <c r="E6" s="850"/>
      <c r="F6" s="850"/>
      <c r="G6" s="144"/>
    </row>
    <row r="7" spans="1:17" ht="15" customHeight="1">
      <c r="B7" s="132"/>
      <c r="C7" s="132"/>
      <c r="D7" s="132"/>
      <c r="E7" s="132"/>
      <c r="F7" s="132"/>
    </row>
    <row r="8" spans="1:17" ht="30" customHeight="1">
      <c r="B8" s="673" t="s">
        <v>361</v>
      </c>
      <c r="C8" s="673" t="s">
        <v>324</v>
      </c>
      <c r="D8" s="673" t="s">
        <v>316</v>
      </c>
      <c r="E8" s="673" t="s">
        <v>993</v>
      </c>
      <c r="F8" s="673" t="s">
        <v>317</v>
      </c>
      <c r="G8" s="673"/>
      <c r="H8" s="673"/>
      <c r="I8" s="673"/>
      <c r="J8" s="673"/>
      <c r="K8" s="673" t="s">
        <v>40</v>
      </c>
      <c r="L8" s="673" t="s">
        <v>362</v>
      </c>
      <c r="M8" s="674"/>
      <c r="N8" s="673" t="s">
        <v>358</v>
      </c>
      <c r="O8" s="144"/>
      <c r="Q8" s="43"/>
    </row>
    <row r="9" spans="1:17" ht="29.25" customHeight="1">
      <c r="B9" s="673" t="s">
        <v>361</v>
      </c>
      <c r="C9" s="673"/>
      <c r="D9" s="673"/>
      <c r="E9" s="833"/>
      <c r="F9" s="198">
        <v>2020</v>
      </c>
      <c r="G9" s="198">
        <v>2021</v>
      </c>
      <c r="H9" s="198">
        <v>2022</v>
      </c>
      <c r="I9" s="198">
        <v>2023</v>
      </c>
      <c r="J9" s="198">
        <v>2024</v>
      </c>
      <c r="K9" s="673"/>
      <c r="L9" s="136" t="s">
        <v>303</v>
      </c>
      <c r="M9" s="136" t="s">
        <v>264</v>
      </c>
      <c r="N9" s="673"/>
      <c r="O9" s="144"/>
    </row>
    <row r="10" spans="1:17" hidden="1">
      <c r="A10" s="216"/>
      <c r="B10" s="217">
        <v>1</v>
      </c>
      <c r="C10" s="218"/>
      <c r="D10" s="205"/>
      <c r="E10" s="205"/>
      <c r="F10" s="205"/>
      <c r="G10" s="205"/>
      <c r="H10" s="205"/>
      <c r="I10" s="205"/>
      <c r="J10" s="205"/>
      <c r="K10" s="205"/>
      <c r="L10" s="219"/>
      <c r="M10" s="219"/>
      <c r="N10" s="220"/>
      <c r="O10" s="144"/>
    </row>
    <row r="11" spans="1:17" hidden="1">
      <c r="A11" s="216"/>
      <c r="B11" s="217">
        <v>2</v>
      </c>
      <c r="C11" s="218"/>
      <c r="D11" s="205"/>
      <c r="E11" s="205"/>
      <c r="F11" s="205"/>
      <c r="G11" s="205"/>
      <c r="H11" s="205"/>
      <c r="I11" s="205"/>
      <c r="J11" s="205"/>
      <c r="K11" s="205"/>
      <c r="L11" s="219"/>
      <c r="M11" s="219"/>
      <c r="N11" s="220"/>
      <c r="O11" s="144"/>
    </row>
    <row r="12" spans="1:17" hidden="1">
      <c r="A12" s="216"/>
      <c r="B12" s="217">
        <v>3</v>
      </c>
      <c r="C12" s="218"/>
      <c r="D12" s="205"/>
      <c r="E12" s="205"/>
      <c r="F12" s="205"/>
      <c r="G12" s="205"/>
      <c r="H12" s="205"/>
      <c r="I12" s="205"/>
      <c r="J12" s="205"/>
      <c r="K12" s="205"/>
      <c r="L12" s="219"/>
      <c r="M12" s="219"/>
      <c r="N12" s="220"/>
      <c r="O12" s="144"/>
    </row>
    <row r="13" spans="1:17" hidden="1">
      <c r="A13" s="216"/>
      <c r="B13" s="217">
        <v>4</v>
      </c>
      <c r="C13" s="218"/>
      <c r="D13" s="205"/>
      <c r="E13" s="205"/>
      <c r="F13" s="205"/>
      <c r="G13" s="205"/>
      <c r="H13" s="205"/>
      <c r="I13" s="205"/>
      <c r="J13" s="205"/>
      <c r="K13" s="205"/>
      <c r="L13" s="219"/>
      <c r="M13" s="219"/>
      <c r="N13" s="220"/>
      <c r="O13" s="144"/>
    </row>
    <row r="14" spans="1:17" hidden="1">
      <c r="A14" s="216"/>
      <c r="B14" s="217">
        <v>5</v>
      </c>
      <c r="C14" s="218"/>
      <c r="D14" s="205"/>
      <c r="E14" s="205"/>
      <c r="F14" s="205"/>
      <c r="G14" s="205"/>
      <c r="H14" s="205"/>
      <c r="I14" s="205"/>
      <c r="J14" s="205"/>
      <c r="K14" s="205"/>
      <c r="L14" s="219"/>
      <c r="M14" s="219"/>
      <c r="N14" s="220"/>
      <c r="O14" s="144"/>
    </row>
    <row r="15" spans="1:17" hidden="1">
      <c r="A15" s="216"/>
      <c r="B15" s="217">
        <v>6</v>
      </c>
      <c r="C15" s="218"/>
      <c r="D15" s="205"/>
      <c r="E15" s="205"/>
      <c r="F15" s="205"/>
      <c r="G15" s="205"/>
      <c r="H15" s="205"/>
      <c r="I15" s="205"/>
      <c r="J15" s="205"/>
      <c r="K15" s="205"/>
      <c r="L15" s="219"/>
      <c r="M15" s="219"/>
      <c r="N15" s="220"/>
      <c r="O15" s="144"/>
    </row>
    <row r="16" spans="1:17" hidden="1">
      <c r="A16" s="216"/>
      <c r="B16" s="217">
        <v>7</v>
      </c>
      <c r="C16" s="218"/>
      <c r="D16" s="205"/>
      <c r="E16" s="205"/>
      <c r="F16" s="205"/>
      <c r="G16" s="205"/>
      <c r="H16" s="205"/>
      <c r="I16" s="205"/>
      <c r="J16" s="205"/>
      <c r="K16" s="205"/>
      <c r="L16" s="219"/>
      <c r="M16" s="219"/>
      <c r="N16" s="220"/>
      <c r="O16" s="144"/>
    </row>
    <row r="17" spans="1:15" hidden="1">
      <c r="A17" s="216"/>
      <c r="B17" s="217">
        <v>8</v>
      </c>
      <c r="C17" s="218"/>
      <c r="D17" s="205"/>
      <c r="E17" s="205"/>
      <c r="F17" s="205"/>
      <c r="G17" s="205"/>
      <c r="H17" s="205"/>
      <c r="I17" s="205"/>
      <c r="J17" s="205"/>
      <c r="K17" s="205"/>
      <c r="L17" s="219"/>
      <c r="M17" s="219"/>
      <c r="N17" s="220"/>
      <c r="O17" s="144"/>
    </row>
    <row r="18" spans="1:15" ht="15" hidden="1" customHeight="1">
      <c r="A18" s="216"/>
      <c r="B18" s="217">
        <v>9</v>
      </c>
      <c r="C18" s="218"/>
      <c r="D18" s="205"/>
      <c r="E18" s="205"/>
      <c r="F18" s="205"/>
      <c r="G18" s="205"/>
      <c r="H18" s="205"/>
      <c r="I18" s="205"/>
      <c r="J18" s="205"/>
      <c r="K18" s="205"/>
      <c r="L18" s="219"/>
      <c r="M18" s="219"/>
      <c r="N18" s="220"/>
      <c r="O18" s="144"/>
    </row>
    <row r="19" spans="1:15" ht="15" hidden="1" customHeight="1">
      <c r="A19" s="216"/>
      <c r="B19" s="217">
        <v>10</v>
      </c>
      <c r="C19" s="218"/>
      <c r="D19" s="205"/>
      <c r="E19" s="205"/>
      <c r="F19" s="205"/>
      <c r="G19" s="205"/>
      <c r="H19" s="205"/>
      <c r="I19" s="205"/>
      <c r="J19" s="205"/>
      <c r="K19" s="205"/>
      <c r="L19" s="219"/>
      <c r="M19" s="219"/>
      <c r="N19" s="220"/>
      <c r="O19" s="144"/>
    </row>
    <row r="20" spans="1:15" hidden="1">
      <c r="A20" s="216"/>
      <c r="B20" s="217">
        <v>11</v>
      </c>
      <c r="C20" s="218"/>
      <c r="D20" s="205"/>
      <c r="E20" s="205"/>
      <c r="F20" s="205"/>
      <c r="G20" s="205"/>
      <c r="H20" s="205"/>
      <c r="I20" s="205"/>
      <c r="J20" s="205"/>
      <c r="K20" s="205"/>
      <c r="L20" s="219"/>
      <c r="M20" s="219"/>
      <c r="N20" s="220"/>
      <c r="O20" s="144"/>
    </row>
    <row r="21" spans="1:15" ht="15" hidden="1" customHeight="1">
      <c r="A21" s="216"/>
      <c r="B21" s="217">
        <v>12</v>
      </c>
      <c r="C21" s="218"/>
      <c r="D21" s="205"/>
      <c r="E21" s="205"/>
      <c r="F21" s="205"/>
      <c r="G21" s="205"/>
      <c r="H21" s="205"/>
      <c r="I21" s="205"/>
      <c r="J21" s="205"/>
      <c r="K21" s="205"/>
      <c r="L21" s="219"/>
      <c r="M21" s="219"/>
      <c r="N21" s="220"/>
      <c r="O21" s="144"/>
    </row>
    <row r="22" spans="1:15" hidden="1">
      <c r="A22" s="216"/>
      <c r="B22" s="217">
        <v>13</v>
      </c>
      <c r="C22" s="218"/>
      <c r="D22" s="205"/>
      <c r="E22" s="205"/>
      <c r="F22" s="205"/>
      <c r="G22" s="205"/>
      <c r="H22" s="205"/>
      <c r="I22" s="205"/>
      <c r="J22" s="205"/>
      <c r="K22" s="205"/>
      <c r="L22" s="219"/>
      <c r="M22" s="219"/>
      <c r="N22" s="220"/>
      <c r="O22" s="144"/>
    </row>
    <row r="23" spans="1:15" hidden="1">
      <c r="A23" s="216"/>
      <c r="B23" s="217">
        <v>14</v>
      </c>
      <c r="C23" s="218"/>
      <c r="D23" s="205"/>
      <c r="E23" s="205"/>
      <c r="F23" s="205"/>
      <c r="G23" s="205"/>
      <c r="H23" s="205"/>
      <c r="I23" s="205"/>
      <c r="J23" s="205"/>
      <c r="K23" s="205"/>
      <c r="L23" s="219"/>
      <c r="M23" s="219"/>
      <c r="N23" s="220"/>
      <c r="O23" s="144"/>
    </row>
    <row r="24" spans="1:15" hidden="1">
      <c r="A24" s="216"/>
      <c r="B24" s="217">
        <v>15</v>
      </c>
      <c r="C24" s="218"/>
      <c r="D24" s="205"/>
      <c r="E24" s="205"/>
      <c r="F24" s="205"/>
      <c r="G24" s="205"/>
      <c r="H24" s="205"/>
      <c r="I24" s="205"/>
      <c r="J24" s="205"/>
      <c r="K24" s="205"/>
      <c r="L24" s="219"/>
      <c r="M24" s="219"/>
      <c r="N24" s="220"/>
      <c r="O24" s="144"/>
    </row>
    <row r="25" spans="1:15" hidden="1">
      <c r="A25" s="216"/>
      <c r="B25" s="217">
        <v>16</v>
      </c>
      <c r="C25" s="218"/>
      <c r="D25" s="205"/>
      <c r="E25" s="205"/>
      <c r="F25" s="205"/>
      <c r="G25" s="205"/>
      <c r="H25" s="205"/>
      <c r="I25" s="205"/>
      <c r="J25" s="205"/>
      <c r="K25" s="205"/>
      <c r="L25" s="219"/>
      <c r="M25" s="219"/>
      <c r="N25" s="220"/>
      <c r="O25" s="144"/>
    </row>
    <row r="26" spans="1:15" hidden="1">
      <c r="A26" s="216"/>
      <c r="B26" s="217">
        <v>17</v>
      </c>
      <c r="C26" s="218"/>
      <c r="D26" s="205"/>
      <c r="E26" s="205"/>
      <c r="F26" s="205"/>
      <c r="G26" s="205"/>
      <c r="H26" s="205"/>
      <c r="I26" s="205"/>
      <c r="J26" s="205"/>
      <c r="K26" s="205"/>
      <c r="L26" s="219"/>
      <c r="M26" s="219"/>
      <c r="N26" s="220"/>
      <c r="O26" s="144"/>
    </row>
    <row r="27" spans="1:15" hidden="1">
      <c r="A27" s="216"/>
      <c r="B27" s="217">
        <v>18</v>
      </c>
      <c r="C27" s="218"/>
      <c r="D27" s="205"/>
      <c r="E27" s="205"/>
      <c r="F27" s="205"/>
      <c r="G27" s="205"/>
      <c r="H27" s="205"/>
      <c r="I27" s="205"/>
      <c r="J27" s="205"/>
      <c r="K27" s="205"/>
      <c r="L27" s="219"/>
      <c r="M27" s="219"/>
      <c r="N27" s="220"/>
      <c r="O27" s="144"/>
    </row>
    <row r="28" spans="1:15" hidden="1">
      <c r="A28" s="216"/>
      <c r="B28" s="217">
        <v>19</v>
      </c>
      <c r="C28" s="218"/>
      <c r="D28" s="205"/>
      <c r="E28" s="205"/>
      <c r="F28" s="205"/>
      <c r="G28" s="205"/>
      <c r="H28" s="205"/>
      <c r="I28" s="205"/>
      <c r="J28" s="205"/>
      <c r="K28" s="205"/>
      <c r="L28" s="219"/>
      <c r="M28" s="219"/>
      <c r="N28" s="220"/>
      <c r="O28" s="144"/>
    </row>
    <row r="29" spans="1:15" hidden="1">
      <c r="A29" s="216"/>
      <c r="B29" s="217">
        <v>20</v>
      </c>
      <c r="C29" s="218"/>
      <c r="D29" s="205"/>
      <c r="E29" s="205"/>
      <c r="F29" s="205"/>
      <c r="G29" s="205"/>
      <c r="H29" s="205"/>
      <c r="I29" s="205"/>
      <c r="J29" s="205"/>
      <c r="K29" s="205"/>
      <c r="L29" s="219"/>
      <c r="M29" s="219"/>
      <c r="N29" s="220"/>
      <c r="O29" s="144"/>
    </row>
    <row r="30" spans="1:15" hidden="1">
      <c r="A30" s="216"/>
      <c r="B30" s="217">
        <v>21</v>
      </c>
      <c r="C30" s="218"/>
      <c r="D30" s="205"/>
      <c r="E30" s="205"/>
      <c r="F30" s="205"/>
      <c r="G30" s="205"/>
      <c r="H30" s="205"/>
      <c r="I30" s="205"/>
      <c r="J30" s="205"/>
      <c r="K30" s="205"/>
      <c r="L30" s="219"/>
      <c r="M30" s="219"/>
      <c r="N30" s="220"/>
      <c r="O30" s="144"/>
    </row>
    <row r="31" spans="1:15" hidden="1">
      <c r="A31" s="216"/>
      <c r="B31" s="217">
        <v>22</v>
      </c>
      <c r="C31" s="218"/>
      <c r="D31" s="205"/>
      <c r="E31" s="205"/>
      <c r="F31" s="205"/>
      <c r="G31" s="205"/>
      <c r="H31" s="205"/>
      <c r="I31" s="205"/>
      <c r="J31" s="205"/>
      <c r="K31" s="205"/>
      <c r="L31" s="219"/>
      <c r="M31" s="219"/>
      <c r="N31" s="220"/>
      <c r="O31" s="144"/>
    </row>
    <row r="32" spans="1:15" hidden="1">
      <c r="A32" s="216"/>
      <c r="B32" s="217">
        <v>23</v>
      </c>
      <c r="C32" s="218"/>
      <c r="D32" s="205"/>
      <c r="E32" s="205"/>
      <c r="F32" s="205"/>
      <c r="G32" s="205"/>
      <c r="H32" s="205"/>
      <c r="I32" s="205"/>
      <c r="J32" s="205"/>
      <c r="K32" s="205"/>
      <c r="L32" s="219"/>
      <c r="M32" s="219"/>
      <c r="N32" s="220"/>
      <c r="O32" s="144"/>
    </row>
    <row r="33" spans="1:15" hidden="1">
      <c r="A33" s="216"/>
      <c r="B33" s="217">
        <v>24</v>
      </c>
      <c r="C33" s="218"/>
      <c r="D33" s="205"/>
      <c r="E33" s="205"/>
      <c r="F33" s="205"/>
      <c r="G33" s="205"/>
      <c r="H33" s="205"/>
      <c r="I33" s="205"/>
      <c r="J33" s="205"/>
      <c r="K33" s="205"/>
      <c r="L33" s="219"/>
      <c r="M33" s="219"/>
      <c r="N33" s="220"/>
      <c r="O33" s="144"/>
    </row>
    <row r="34" spans="1:15" hidden="1">
      <c r="A34" s="216"/>
      <c r="B34" s="217">
        <v>25</v>
      </c>
      <c r="C34" s="218"/>
      <c r="D34" s="205"/>
      <c r="E34" s="205"/>
      <c r="F34" s="205"/>
      <c r="G34" s="205"/>
      <c r="H34" s="205"/>
      <c r="I34" s="205"/>
      <c r="J34" s="205"/>
      <c r="K34" s="205"/>
      <c r="L34" s="219"/>
      <c r="M34" s="219"/>
      <c r="N34" s="220"/>
      <c r="O34" s="144"/>
    </row>
    <row r="35" spans="1:15" hidden="1">
      <c r="A35" s="216"/>
      <c r="B35" s="217">
        <v>26</v>
      </c>
      <c r="C35" s="218"/>
      <c r="D35" s="205"/>
      <c r="E35" s="205"/>
      <c r="F35" s="205"/>
      <c r="G35" s="205"/>
      <c r="H35" s="205"/>
      <c r="I35" s="205"/>
      <c r="J35" s="205"/>
      <c r="K35" s="205"/>
      <c r="L35" s="219"/>
      <c r="M35" s="219"/>
      <c r="N35" s="220"/>
      <c r="O35" s="144"/>
    </row>
    <row r="36" spans="1:15" hidden="1">
      <c r="A36" s="216"/>
      <c r="B36" s="217">
        <v>27</v>
      </c>
      <c r="C36" s="218"/>
      <c r="D36" s="205"/>
      <c r="E36" s="205"/>
      <c r="F36" s="205"/>
      <c r="G36" s="205"/>
      <c r="H36" s="205"/>
      <c r="I36" s="205"/>
      <c r="J36" s="205"/>
      <c r="K36" s="205"/>
      <c r="L36" s="219"/>
      <c r="M36" s="219"/>
      <c r="N36" s="220"/>
      <c r="O36" s="144"/>
    </row>
    <row r="37" spans="1:15" hidden="1">
      <c r="A37" s="216"/>
      <c r="B37" s="217">
        <v>28</v>
      </c>
      <c r="C37" s="218"/>
      <c r="D37" s="205"/>
      <c r="E37" s="205"/>
      <c r="F37" s="205"/>
      <c r="G37" s="205"/>
      <c r="H37" s="205"/>
      <c r="I37" s="205"/>
      <c r="J37" s="205"/>
      <c r="K37" s="205"/>
      <c r="L37" s="219"/>
      <c r="M37" s="219"/>
      <c r="N37" s="220"/>
      <c r="O37" s="144"/>
    </row>
    <row r="38" spans="1:15" hidden="1">
      <c r="A38" s="216"/>
      <c r="B38" s="217">
        <v>29</v>
      </c>
      <c r="C38" s="218"/>
      <c r="D38" s="205"/>
      <c r="E38" s="205"/>
      <c r="F38" s="205"/>
      <c r="G38" s="205"/>
      <c r="H38" s="205"/>
      <c r="I38" s="205"/>
      <c r="J38" s="205"/>
      <c r="K38" s="205"/>
      <c r="L38" s="219"/>
      <c r="M38" s="219"/>
      <c r="N38" s="220"/>
      <c r="O38" s="144"/>
    </row>
    <row r="39" spans="1:15" hidden="1">
      <c r="A39" s="216"/>
      <c r="B39" s="217">
        <v>30</v>
      </c>
      <c r="C39" s="218"/>
      <c r="D39" s="205"/>
      <c r="E39" s="205"/>
      <c r="F39" s="205"/>
      <c r="G39" s="205"/>
      <c r="H39" s="205"/>
      <c r="I39" s="205"/>
      <c r="J39" s="205"/>
      <c r="K39" s="205"/>
      <c r="L39" s="219"/>
      <c r="M39" s="219"/>
      <c r="N39" s="220"/>
      <c r="O39" s="144"/>
    </row>
    <row r="40" spans="1:15" hidden="1">
      <c r="A40" s="216"/>
      <c r="B40" s="217">
        <v>31</v>
      </c>
      <c r="C40" s="218"/>
      <c r="D40" s="205"/>
      <c r="E40" s="205"/>
      <c r="F40" s="205"/>
      <c r="G40" s="205"/>
      <c r="H40" s="205"/>
      <c r="I40" s="205"/>
      <c r="J40" s="205"/>
      <c r="K40" s="205"/>
      <c r="L40" s="219"/>
      <c r="M40" s="219"/>
      <c r="N40" s="220"/>
      <c r="O40" s="144"/>
    </row>
    <row r="41" spans="1:15" hidden="1">
      <c r="A41" s="216"/>
      <c r="B41" s="217">
        <v>32</v>
      </c>
      <c r="C41" s="218"/>
      <c r="D41" s="205"/>
      <c r="E41" s="205"/>
      <c r="F41" s="205"/>
      <c r="G41" s="205"/>
      <c r="H41" s="205"/>
      <c r="I41" s="205"/>
      <c r="J41" s="205"/>
      <c r="K41" s="205"/>
      <c r="L41" s="219"/>
      <c r="M41" s="219"/>
      <c r="N41" s="220"/>
      <c r="O41" s="144"/>
    </row>
    <row r="42" spans="1:15" hidden="1">
      <c r="A42" s="216"/>
      <c r="B42" s="217">
        <v>33</v>
      </c>
      <c r="C42" s="218"/>
      <c r="D42" s="205"/>
      <c r="E42" s="205"/>
      <c r="F42" s="205"/>
      <c r="G42" s="205"/>
      <c r="H42" s="205"/>
      <c r="I42" s="205"/>
      <c r="J42" s="205"/>
      <c r="K42" s="205"/>
      <c r="L42" s="219"/>
      <c r="M42" s="219"/>
      <c r="N42" s="220"/>
      <c r="O42" s="144"/>
    </row>
    <row r="43" spans="1:15" hidden="1">
      <c r="A43" s="216"/>
      <c r="B43" s="217">
        <v>34</v>
      </c>
      <c r="C43" s="218"/>
      <c r="D43" s="205"/>
      <c r="E43" s="205"/>
      <c r="F43" s="205"/>
      <c r="G43" s="205"/>
      <c r="H43" s="205"/>
      <c r="I43" s="205"/>
      <c r="J43" s="205"/>
      <c r="K43" s="205"/>
      <c r="L43" s="219"/>
      <c r="M43" s="219"/>
      <c r="N43" s="220"/>
      <c r="O43" s="144"/>
    </row>
    <row r="44" spans="1:15" hidden="1">
      <c r="A44" s="216"/>
      <c r="B44" s="217">
        <v>35</v>
      </c>
      <c r="C44" s="218"/>
      <c r="D44" s="205"/>
      <c r="E44" s="205"/>
      <c r="F44" s="205"/>
      <c r="G44" s="205"/>
      <c r="H44" s="205"/>
      <c r="I44" s="205"/>
      <c r="J44" s="205"/>
      <c r="K44" s="205"/>
      <c r="L44" s="219"/>
      <c r="M44" s="219"/>
      <c r="N44" s="220"/>
      <c r="O44" s="144"/>
    </row>
    <row r="45" spans="1:15" hidden="1">
      <c r="A45" s="216"/>
      <c r="B45" s="217">
        <v>36</v>
      </c>
      <c r="C45" s="218"/>
      <c r="D45" s="205"/>
      <c r="E45" s="205"/>
      <c r="F45" s="205"/>
      <c r="G45" s="205"/>
      <c r="H45" s="205"/>
      <c r="I45" s="205"/>
      <c r="J45" s="205"/>
      <c r="K45" s="205"/>
      <c r="L45" s="219"/>
      <c r="M45" s="219"/>
      <c r="N45" s="220"/>
      <c r="O45" s="144"/>
    </row>
    <row r="46" spans="1:15" hidden="1">
      <c r="A46" s="216"/>
      <c r="B46" s="217">
        <v>37</v>
      </c>
      <c r="C46" s="218"/>
      <c r="D46" s="205"/>
      <c r="E46" s="205"/>
      <c r="F46" s="205"/>
      <c r="G46" s="205"/>
      <c r="H46" s="205"/>
      <c r="I46" s="205"/>
      <c r="J46" s="205"/>
      <c r="K46" s="205"/>
      <c r="L46" s="219"/>
      <c r="M46" s="219"/>
      <c r="N46" s="220"/>
      <c r="O46" s="144"/>
    </row>
    <row r="47" spans="1:15" hidden="1">
      <c r="A47" s="216"/>
      <c r="B47" s="217">
        <v>38</v>
      </c>
      <c r="C47" s="218"/>
      <c r="D47" s="205"/>
      <c r="E47" s="205"/>
      <c r="F47" s="205"/>
      <c r="G47" s="205"/>
      <c r="H47" s="205"/>
      <c r="I47" s="205"/>
      <c r="J47" s="205"/>
      <c r="K47" s="205"/>
      <c r="L47" s="219"/>
      <c r="M47" s="219"/>
      <c r="N47" s="220"/>
      <c r="O47" s="144"/>
    </row>
    <row r="48" spans="1:15" hidden="1">
      <c r="A48" s="216"/>
      <c r="B48" s="217">
        <v>39</v>
      </c>
      <c r="C48" s="218"/>
      <c r="D48" s="205"/>
      <c r="E48" s="205"/>
      <c r="F48" s="205"/>
      <c r="G48" s="205"/>
      <c r="H48" s="205"/>
      <c r="I48" s="205"/>
      <c r="J48" s="205"/>
      <c r="K48" s="205"/>
      <c r="L48" s="219"/>
      <c r="M48" s="219"/>
      <c r="N48" s="220"/>
      <c r="O48" s="144"/>
    </row>
    <row r="49" spans="1:15" hidden="1">
      <c r="A49" s="216"/>
      <c r="B49" s="217">
        <v>40</v>
      </c>
      <c r="C49" s="218"/>
      <c r="D49" s="205"/>
      <c r="E49" s="205"/>
      <c r="F49" s="205"/>
      <c r="G49" s="205"/>
      <c r="H49" s="205"/>
      <c r="I49" s="205"/>
      <c r="J49" s="205"/>
      <c r="K49" s="205"/>
      <c r="L49" s="219"/>
      <c r="M49" s="219"/>
      <c r="N49" s="220"/>
      <c r="O49" s="144"/>
    </row>
    <row r="50" spans="1:15" hidden="1">
      <c r="A50" s="216"/>
      <c r="B50" s="217">
        <v>41</v>
      </c>
      <c r="C50" s="218"/>
      <c r="D50" s="205"/>
      <c r="E50" s="205"/>
      <c r="F50" s="205"/>
      <c r="G50" s="205"/>
      <c r="H50" s="205"/>
      <c r="I50" s="205"/>
      <c r="J50" s="205"/>
      <c r="K50" s="205"/>
      <c r="L50" s="219"/>
      <c r="M50" s="219"/>
      <c r="N50" s="220"/>
      <c r="O50" s="144"/>
    </row>
    <row r="51" spans="1:15" hidden="1">
      <c r="A51" s="216"/>
      <c r="B51" s="217">
        <v>42</v>
      </c>
      <c r="C51" s="218"/>
      <c r="D51" s="205"/>
      <c r="E51" s="205"/>
      <c r="F51" s="205"/>
      <c r="G51" s="205"/>
      <c r="H51" s="205"/>
      <c r="I51" s="205"/>
      <c r="J51" s="205"/>
      <c r="K51" s="205"/>
      <c r="L51" s="219"/>
      <c r="M51" s="219"/>
      <c r="N51" s="220"/>
      <c r="O51" s="144"/>
    </row>
    <row r="52" spans="1:15" hidden="1">
      <c r="A52" s="216"/>
      <c r="B52" s="217">
        <v>43</v>
      </c>
      <c r="C52" s="218"/>
      <c r="D52" s="205"/>
      <c r="E52" s="205"/>
      <c r="F52" s="205"/>
      <c r="G52" s="205"/>
      <c r="H52" s="205"/>
      <c r="I52" s="205"/>
      <c r="J52" s="205"/>
      <c r="K52" s="205"/>
      <c r="L52" s="219"/>
      <c r="M52" s="219"/>
      <c r="N52" s="220"/>
      <c r="O52" s="144"/>
    </row>
    <row r="53" spans="1:15" hidden="1">
      <c r="A53" s="216"/>
      <c r="B53" s="217">
        <v>44</v>
      </c>
      <c r="C53" s="218"/>
      <c r="D53" s="205"/>
      <c r="E53" s="205"/>
      <c r="F53" s="205"/>
      <c r="G53" s="205"/>
      <c r="H53" s="205"/>
      <c r="I53" s="205"/>
      <c r="J53" s="205"/>
      <c r="K53" s="205"/>
      <c r="L53" s="219"/>
      <c r="M53" s="219"/>
      <c r="N53" s="220"/>
      <c r="O53" s="144"/>
    </row>
    <row r="54" spans="1:15" hidden="1">
      <c r="A54" s="216"/>
      <c r="B54" s="217">
        <v>45</v>
      </c>
      <c r="C54" s="218"/>
      <c r="D54" s="205"/>
      <c r="E54" s="205"/>
      <c r="F54" s="205"/>
      <c r="G54" s="205"/>
      <c r="H54" s="205"/>
      <c r="I54" s="205"/>
      <c r="J54" s="205"/>
      <c r="K54" s="205"/>
      <c r="L54" s="219"/>
      <c r="M54" s="219"/>
      <c r="N54" s="220"/>
      <c r="O54" s="144"/>
    </row>
    <row r="55" spans="1:15" hidden="1">
      <c r="A55" s="216"/>
      <c r="B55" s="217">
        <v>46</v>
      </c>
      <c r="C55" s="218"/>
      <c r="D55" s="205"/>
      <c r="E55" s="205"/>
      <c r="F55" s="205"/>
      <c r="G55" s="205"/>
      <c r="H55" s="205"/>
      <c r="I55" s="205"/>
      <c r="J55" s="205"/>
      <c r="K55" s="205"/>
      <c r="L55" s="219"/>
      <c r="M55" s="219"/>
      <c r="N55" s="220"/>
      <c r="O55" s="144"/>
    </row>
    <row r="56" spans="1:15" hidden="1">
      <c r="A56" s="216"/>
      <c r="B56" s="217">
        <v>47</v>
      </c>
      <c r="C56" s="218"/>
      <c r="D56" s="205"/>
      <c r="E56" s="205"/>
      <c r="F56" s="205"/>
      <c r="G56" s="205"/>
      <c r="H56" s="205"/>
      <c r="I56" s="205"/>
      <c r="J56" s="205"/>
      <c r="K56" s="205"/>
      <c r="L56" s="219"/>
      <c r="M56" s="219"/>
      <c r="N56" s="220"/>
      <c r="O56" s="144"/>
    </row>
    <row r="57" spans="1:15" hidden="1">
      <c r="A57" s="216"/>
      <c r="B57" s="217">
        <v>48</v>
      </c>
      <c r="C57" s="218"/>
      <c r="D57" s="205"/>
      <c r="E57" s="205"/>
      <c r="F57" s="205"/>
      <c r="G57" s="205"/>
      <c r="H57" s="205"/>
      <c r="I57" s="205"/>
      <c r="J57" s="205"/>
      <c r="K57" s="205"/>
      <c r="L57" s="219"/>
      <c r="M57" s="219"/>
      <c r="N57" s="220"/>
      <c r="O57" s="144"/>
    </row>
    <row r="58" spans="1:15" hidden="1">
      <c r="A58" s="216"/>
      <c r="B58" s="217">
        <v>49</v>
      </c>
      <c r="C58" s="218"/>
      <c r="D58" s="205"/>
      <c r="E58" s="205"/>
      <c r="F58" s="205"/>
      <c r="G58" s="205"/>
      <c r="H58" s="205"/>
      <c r="I58" s="205"/>
      <c r="J58" s="205"/>
      <c r="K58" s="205"/>
      <c r="L58" s="219"/>
      <c r="M58" s="219"/>
      <c r="N58" s="220"/>
      <c r="O58" s="144"/>
    </row>
    <row r="59" spans="1:15" hidden="1">
      <c r="A59" s="216"/>
      <c r="B59" s="217">
        <v>50</v>
      </c>
      <c r="C59" s="218"/>
      <c r="D59" s="205"/>
      <c r="E59" s="205"/>
      <c r="F59" s="205"/>
      <c r="G59" s="205"/>
      <c r="H59" s="205"/>
      <c r="I59" s="205"/>
      <c r="J59" s="205"/>
      <c r="K59" s="205"/>
      <c r="L59" s="219"/>
      <c r="M59" s="219"/>
      <c r="N59" s="220"/>
      <c r="O59" s="144"/>
    </row>
    <row r="60" spans="1:15" ht="28.5" customHeight="1">
      <c r="B60" s="654" t="s">
        <v>319</v>
      </c>
      <c r="C60" s="655"/>
      <c r="D60" s="221">
        <f t="shared" ref="D60:J60" si="0">SUM(D10:D59)</f>
        <v>0</v>
      </c>
      <c r="E60" s="221">
        <f t="shared" si="0"/>
        <v>0</v>
      </c>
      <c r="F60" s="221">
        <f t="shared" si="0"/>
        <v>0</v>
      </c>
      <c r="G60" s="221">
        <f t="shared" si="0"/>
        <v>0</v>
      </c>
      <c r="H60" s="221">
        <f t="shared" si="0"/>
        <v>0</v>
      </c>
      <c r="I60" s="221">
        <f t="shared" si="0"/>
        <v>0</v>
      </c>
      <c r="J60" s="221">
        <f t="shared" si="0"/>
        <v>0</v>
      </c>
      <c r="K60" s="176"/>
      <c r="L60" s="176"/>
      <c r="M60" s="176"/>
      <c r="N60" s="176"/>
      <c r="O60" s="144"/>
    </row>
    <row r="61" spans="1:15" ht="30" customHeight="1">
      <c r="B61" s="654" t="s">
        <v>320</v>
      </c>
      <c r="C61" s="655"/>
      <c r="D61" s="205"/>
      <c r="E61" s="205"/>
      <c r="F61" s="205"/>
      <c r="G61" s="205"/>
      <c r="H61" s="205"/>
      <c r="I61" s="205"/>
      <c r="J61" s="205"/>
      <c r="K61" s="176"/>
      <c r="L61" s="219"/>
      <c r="M61" s="219"/>
      <c r="N61" s="176"/>
      <c r="O61" s="144"/>
    </row>
    <row r="62" spans="1:15">
      <c r="B62" s="654" t="s">
        <v>321</v>
      </c>
      <c r="C62" s="655"/>
      <c r="D62" s="176"/>
      <c r="E62" s="176"/>
      <c r="F62" s="205"/>
      <c r="G62" s="205"/>
      <c r="H62" s="205"/>
      <c r="I62" s="205"/>
      <c r="J62" s="205"/>
      <c r="K62" s="176"/>
      <c r="L62" s="219"/>
      <c r="M62" s="219"/>
      <c r="N62" s="176"/>
      <c r="O62" s="144"/>
    </row>
    <row r="63" spans="1:15" ht="30" customHeight="1">
      <c r="B63" s="654" t="s">
        <v>357</v>
      </c>
      <c r="C63" s="655"/>
      <c r="D63" s="221">
        <f>SUM(D60:D62)</f>
        <v>0</v>
      </c>
      <c r="E63" s="221">
        <f>SUM(E60:E62)</f>
        <v>0</v>
      </c>
      <c r="F63" s="221">
        <f t="shared" ref="F63:J63" si="1">SUM(F60:F62)</f>
        <v>0</v>
      </c>
      <c r="G63" s="221">
        <f t="shared" si="1"/>
        <v>0</v>
      </c>
      <c r="H63" s="221">
        <f t="shared" si="1"/>
        <v>0</v>
      </c>
      <c r="I63" s="221">
        <f t="shared" si="1"/>
        <v>0</v>
      </c>
      <c r="J63" s="221">
        <f t="shared" si="1"/>
        <v>0</v>
      </c>
      <c r="K63" s="176"/>
      <c r="L63" s="176"/>
      <c r="M63" s="176"/>
      <c r="N63" s="176"/>
      <c r="O63" s="144"/>
    </row>
    <row r="64" spans="1:15" ht="18.75" customHeight="1">
      <c r="B64" s="778" t="s">
        <v>994</v>
      </c>
      <c r="C64" s="778"/>
      <c r="D64" s="778"/>
      <c r="E64" s="778"/>
      <c r="F64" s="778"/>
      <c r="G64" s="778"/>
      <c r="H64" s="778"/>
      <c r="I64" s="778"/>
      <c r="J64" s="778"/>
      <c r="K64" s="778"/>
      <c r="L64" s="132"/>
      <c r="M64" s="132"/>
      <c r="N64" s="132"/>
    </row>
    <row r="65" spans="1:14" ht="18.75" customHeight="1"/>
    <row r="66" spans="1:14" ht="23.25" customHeight="1">
      <c r="B66" s="32" t="s">
        <v>1016</v>
      </c>
      <c r="C66" s="32"/>
      <c r="D66" s="32"/>
      <c r="E66" s="32"/>
      <c r="F66" s="32"/>
      <c r="G66" s="32"/>
      <c r="H66" s="32"/>
      <c r="I66" s="32"/>
      <c r="J66" s="32"/>
      <c r="K66" s="32"/>
      <c r="L66" s="32"/>
      <c r="M66" s="32"/>
      <c r="N66" s="32"/>
    </row>
    <row r="67" spans="1:14" ht="17.25">
      <c r="B67" s="842" t="s">
        <v>325</v>
      </c>
      <c r="C67" s="842"/>
      <c r="D67" s="842"/>
      <c r="E67" s="842"/>
      <c r="F67" s="842"/>
      <c r="G67" s="842"/>
      <c r="H67" s="842"/>
      <c r="I67" s="842"/>
      <c r="J67" s="842"/>
      <c r="K67" s="842"/>
      <c r="M67" s="32"/>
    </row>
    <row r="69" spans="1:14" s="15" customFormat="1" ht="15" hidden="1" customHeight="1">
      <c r="A69" s="6" t="s">
        <v>693</v>
      </c>
      <c r="C69" s="798" t="s">
        <v>323</v>
      </c>
      <c r="D69" s="799"/>
      <c r="E69" s="800" t="str">
        <f>IF(C10="","",C10)</f>
        <v/>
      </c>
      <c r="F69" s="801"/>
      <c r="G69" s="801"/>
      <c r="H69" s="801"/>
      <c r="I69" s="801"/>
      <c r="J69" s="654" t="s">
        <v>322</v>
      </c>
      <c r="K69" s="655"/>
      <c r="L69" s="802">
        <f>D10</f>
        <v>0</v>
      </c>
      <c r="M69" s="803"/>
      <c r="N69" s="222"/>
    </row>
    <row r="70" spans="1:14" ht="45" hidden="1" customHeight="1">
      <c r="C70" s="654" t="s">
        <v>995</v>
      </c>
      <c r="D70" s="655"/>
      <c r="E70" s="808"/>
      <c r="F70" s="809"/>
      <c r="G70" s="809"/>
      <c r="H70" s="809"/>
      <c r="I70" s="809"/>
      <c r="J70" s="809"/>
      <c r="K70" s="809"/>
      <c r="L70" s="809"/>
      <c r="M70" s="809"/>
      <c r="N70" s="144"/>
    </row>
    <row r="71" spans="1:14" ht="60" hidden="1"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11"/>
      <c r="E71" s="398" t="s">
        <v>240</v>
      </c>
      <c r="F71" s="632"/>
      <c r="G71" s="633"/>
      <c r="H71" s="633"/>
      <c r="I71" s="633"/>
      <c r="J71" s="633"/>
      <c r="K71" s="633"/>
      <c r="L71" s="633"/>
      <c r="M71" s="724"/>
      <c r="N71" s="144"/>
    </row>
    <row r="72" spans="1:14" ht="15" hidden="1"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hidden="1" customHeight="1">
      <c r="C73" s="826"/>
      <c r="D73" s="827"/>
      <c r="E73" s="411"/>
      <c r="F73" s="411"/>
      <c r="G73" s="411"/>
      <c r="H73" s="411"/>
      <c r="I73" s="411"/>
      <c r="J73" s="411"/>
      <c r="K73" s="411"/>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45" hidden="1"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20"/>
      <c r="F81" s="809"/>
      <c r="G81" s="809"/>
      <c r="H81" s="809"/>
      <c r="I81" s="809"/>
      <c r="J81" s="809"/>
      <c r="K81" s="809"/>
      <c r="L81" s="809"/>
      <c r="M81" s="809"/>
      <c r="N81" s="144"/>
    </row>
    <row r="82" spans="1:14" hidden="1">
      <c r="C82" s="654" t="s">
        <v>996</v>
      </c>
      <c r="D82" s="655"/>
      <c r="E82" s="189" t="s">
        <v>240</v>
      </c>
      <c r="F82" s="806"/>
      <c r="G82" s="807"/>
      <c r="H82" s="807"/>
      <c r="I82" s="807"/>
      <c r="J82" s="807"/>
      <c r="K82" s="807"/>
      <c r="L82" s="807"/>
      <c r="M82" s="807"/>
      <c r="N82" s="144"/>
    </row>
    <row r="83" spans="1:14" hidden="1">
      <c r="C83" s="654" t="s">
        <v>326</v>
      </c>
      <c r="D83" s="655"/>
      <c r="E83" s="189" t="s">
        <v>240</v>
      </c>
      <c r="F83" s="806"/>
      <c r="G83" s="807"/>
      <c r="H83" s="807"/>
      <c r="I83" s="807"/>
      <c r="J83" s="807"/>
      <c r="K83" s="807"/>
      <c r="L83" s="807"/>
      <c r="M83" s="807"/>
      <c r="N83" s="144"/>
    </row>
    <row r="84" spans="1:14" hidden="1">
      <c r="C84" s="804" t="s">
        <v>997</v>
      </c>
      <c r="D84" s="805"/>
      <c r="E84" s="189" t="s">
        <v>240</v>
      </c>
      <c r="F84" s="806"/>
      <c r="G84" s="807"/>
      <c r="H84" s="807"/>
      <c r="I84" s="807"/>
      <c r="J84" s="807"/>
      <c r="K84" s="807"/>
      <c r="L84" s="807"/>
      <c r="M84" s="807"/>
      <c r="N84" s="144"/>
    </row>
    <row r="85" spans="1:14" ht="30" hidden="1" customHeight="1">
      <c r="C85" s="804" t="s">
        <v>327</v>
      </c>
      <c r="D85" s="805"/>
      <c r="E85" s="189" t="s">
        <v>240</v>
      </c>
      <c r="F85" s="806"/>
      <c r="G85" s="807"/>
      <c r="H85" s="807"/>
      <c r="I85" s="807"/>
      <c r="J85" s="807"/>
      <c r="K85" s="807"/>
      <c r="L85" s="807"/>
      <c r="M85" s="807"/>
      <c r="N85" s="181"/>
    </row>
    <row r="86" spans="1:14" ht="9" hidden="1" customHeight="1">
      <c r="C86" s="132"/>
      <c r="D86" s="132"/>
      <c r="E86" s="132"/>
      <c r="F86" s="132"/>
      <c r="G86" s="132"/>
      <c r="H86" s="132"/>
      <c r="I86" s="132"/>
      <c r="J86" s="132"/>
      <c r="K86" s="132"/>
      <c r="L86" s="132"/>
      <c r="M86" s="132"/>
    </row>
    <row r="87" spans="1:14" hidden="1">
      <c r="B87"/>
      <c r="C87"/>
      <c r="D87"/>
      <c r="E87"/>
      <c r="F87"/>
      <c r="G87"/>
      <c r="H87"/>
      <c r="I87"/>
      <c r="J87"/>
      <c r="K87"/>
      <c r="L87"/>
      <c r="M87"/>
    </row>
    <row r="88" spans="1:14" s="15" customFormat="1" ht="15" hidden="1" customHeight="1">
      <c r="A88" s="6" t="s">
        <v>693</v>
      </c>
      <c r="C88" s="798" t="s">
        <v>644</v>
      </c>
      <c r="D88" s="799"/>
      <c r="E88" s="800" t="str">
        <f>IF(C11="","",C11)</f>
        <v/>
      </c>
      <c r="F88" s="801"/>
      <c r="G88" s="801"/>
      <c r="H88" s="801"/>
      <c r="I88" s="801"/>
      <c r="J88" s="654" t="s">
        <v>322</v>
      </c>
      <c r="K88" s="655"/>
      <c r="L88" s="802">
        <f>D11</f>
        <v>0</v>
      </c>
      <c r="M88" s="803"/>
      <c r="N88" s="222"/>
    </row>
    <row r="89" spans="1:14" ht="45" hidden="1" customHeight="1">
      <c r="C89" s="654" t="s">
        <v>995</v>
      </c>
      <c r="D89" s="655"/>
      <c r="E89" s="808"/>
      <c r="F89" s="809"/>
      <c r="G89" s="809"/>
      <c r="H89" s="809"/>
      <c r="I89" s="809"/>
      <c r="J89" s="809"/>
      <c r="K89" s="809"/>
      <c r="L89" s="809"/>
      <c r="M89" s="809"/>
      <c r="N89" s="144"/>
    </row>
    <row r="90" spans="1:14" ht="60" hidden="1"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1"/>
      <c r="E90" s="398" t="s">
        <v>240</v>
      </c>
      <c r="F90" s="632"/>
      <c r="G90" s="633"/>
      <c r="H90" s="633"/>
      <c r="I90" s="633"/>
      <c r="J90" s="633"/>
      <c r="K90" s="633"/>
      <c r="L90" s="633"/>
      <c r="M90" s="724"/>
      <c r="N90" s="144"/>
    </row>
    <row r="91" spans="1:14" ht="15" hidden="1"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hidden="1" customHeight="1">
      <c r="C92" s="826"/>
      <c r="D92" s="827"/>
      <c r="E92" s="411"/>
      <c r="F92" s="411"/>
      <c r="G92" s="411"/>
      <c r="H92" s="411"/>
      <c r="I92" s="411"/>
      <c r="J92" s="411"/>
      <c r="K92" s="411"/>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45" hidden="1"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20"/>
      <c r="F100" s="809"/>
      <c r="G100" s="809"/>
      <c r="H100" s="809"/>
      <c r="I100" s="809"/>
      <c r="J100" s="809"/>
      <c r="K100" s="809"/>
      <c r="L100" s="809"/>
      <c r="M100" s="809"/>
      <c r="N100" s="144"/>
    </row>
    <row r="101" spans="1:14" hidden="1">
      <c r="C101" s="654" t="s">
        <v>996</v>
      </c>
      <c r="D101" s="655"/>
      <c r="E101" s="189" t="s">
        <v>240</v>
      </c>
      <c r="F101" s="806"/>
      <c r="G101" s="807"/>
      <c r="H101" s="807"/>
      <c r="I101" s="807"/>
      <c r="J101" s="807"/>
      <c r="K101" s="807"/>
      <c r="L101" s="807"/>
      <c r="M101" s="807"/>
      <c r="N101" s="144"/>
    </row>
    <row r="102" spans="1:14" hidden="1">
      <c r="C102" s="654" t="s">
        <v>326</v>
      </c>
      <c r="D102" s="655"/>
      <c r="E102" s="189" t="s">
        <v>240</v>
      </c>
      <c r="F102" s="806"/>
      <c r="G102" s="807"/>
      <c r="H102" s="807"/>
      <c r="I102" s="807"/>
      <c r="J102" s="807"/>
      <c r="K102" s="807"/>
      <c r="L102" s="807"/>
      <c r="M102" s="807"/>
      <c r="N102" s="144"/>
    </row>
    <row r="103" spans="1:14" ht="15" hidden="1" customHeight="1">
      <c r="C103" s="804" t="s">
        <v>997</v>
      </c>
      <c r="D103" s="805"/>
      <c r="E103" s="189" t="s">
        <v>240</v>
      </c>
      <c r="F103" s="806"/>
      <c r="G103" s="807"/>
      <c r="H103" s="807"/>
      <c r="I103" s="807"/>
      <c r="J103" s="807"/>
      <c r="K103" s="807"/>
      <c r="L103" s="807"/>
      <c r="M103" s="807"/>
      <c r="N103" s="144"/>
    </row>
    <row r="104" spans="1:14" ht="30" hidden="1" customHeight="1">
      <c r="C104" s="804" t="s">
        <v>327</v>
      </c>
      <c r="D104" s="805"/>
      <c r="E104" s="189" t="s">
        <v>240</v>
      </c>
      <c r="F104" s="806"/>
      <c r="G104" s="807"/>
      <c r="H104" s="807"/>
      <c r="I104" s="807"/>
      <c r="J104" s="807"/>
      <c r="K104" s="807"/>
      <c r="L104" s="807"/>
      <c r="M104" s="807"/>
      <c r="N104" s="181"/>
    </row>
    <row r="105" spans="1:14" ht="9" hidden="1" customHeight="1">
      <c r="C105" s="132"/>
      <c r="D105" s="132"/>
      <c r="E105" s="132"/>
      <c r="F105" s="132"/>
      <c r="G105" s="132"/>
      <c r="H105" s="132"/>
      <c r="I105" s="132"/>
      <c r="J105" s="132"/>
      <c r="K105" s="132"/>
      <c r="L105" s="132"/>
      <c r="M105" s="132"/>
    </row>
    <row r="106" spans="1:14" hidden="1">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8" spans="2:15" hidden="1"/>
    <row r="1019" spans="2:15" ht="17.25">
      <c r="B1019" s="32" t="s">
        <v>1017</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1670</v>
      </c>
      <c r="C1021" s="32"/>
      <c r="D1021" s="32"/>
      <c r="E1021" s="32"/>
      <c r="F1021" s="32"/>
      <c r="G1021" s="32"/>
      <c r="H1021" s="32"/>
      <c r="I1021" s="32"/>
      <c r="J1021" s="32"/>
      <c r="K1021" s="32"/>
      <c r="L1021" s="32"/>
      <c r="M1021" s="32"/>
      <c r="N1021" s="32"/>
    </row>
    <row r="1022" spans="2:15" ht="15" customHeight="1"/>
    <row r="1023" spans="2:15" ht="99.75" customHeight="1">
      <c r="B1023" s="758"/>
      <c r="C1023" s="759"/>
      <c r="D1023" s="759"/>
      <c r="E1023" s="759"/>
      <c r="F1023" s="759"/>
      <c r="G1023" s="759"/>
      <c r="H1023" s="759"/>
      <c r="I1023" s="759"/>
      <c r="J1023" s="759"/>
      <c r="K1023" s="759"/>
      <c r="L1023" s="759"/>
      <c r="M1023" s="759"/>
      <c r="N1023" s="768"/>
      <c r="O1023" s="144"/>
    </row>
    <row r="1024" spans="2:15" ht="17.25">
      <c r="B1024" s="32"/>
      <c r="C1024" s="32"/>
      <c r="D1024" s="32"/>
      <c r="E1024" s="32"/>
      <c r="F1024" s="32"/>
      <c r="G1024" s="32"/>
      <c r="H1024" s="32"/>
      <c r="I1024" s="32"/>
      <c r="J1024" s="32"/>
      <c r="K1024" s="32"/>
      <c r="L1024" s="32"/>
      <c r="M1024" s="32"/>
      <c r="N1024" s="32"/>
    </row>
    <row r="1025" spans="2:14" ht="17.25">
      <c r="B1025" s="50" t="s">
        <v>1671</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857" t="s">
        <v>1667</v>
      </c>
      <c r="E1027" s="857"/>
      <c r="F1027" s="857"/>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313">
        <v>2020</v>
      </c>
      <c r="G1030" s="313">
        <v>2021</v>
      </c>
      <c r="H1030" s="313">
        <v>2022</v>
      </c>
      <c r="I1030" s="313">
        <v>2023</v>
      </c>
      <c r="J1030" s="313">
        <v>2024</v>
      </c>
      <c r="K1030" s="795"/>
      <c r="L1030" s="796"/>
      <c r="M1030" s="796"/>
      <c r="N1030" s="797"/>
    </row>
    <row r="1031" spans="2:14" hidden="1">
      <c r="B1031" s="403">
        <v>1</v>
      </c>
      <c r="C1031" s="401"/>
      <c r="D1031" s="205"/>
      <c r="E1031" s="205"/>
      <c r="F1031" s="402"/>
      <c r="G1031" s="402"/>
      <c r="H1031" s="402"/>
      <c r="I1031" s="402"/>
      <c r="J1031" s="402"/>
      <c r="K1031" s="790"/>
      <c r="L1031" s="791"/>
      <c r="M1031" s="791"/>
      <c r="N1031" s="792"/>
    </row>
    <row r="1032" spans="2:14" hidden="1">
      <c r="B1032" s="403">
        <v>2</v>
      </c>
      <c r="C1032" s="401"/>
      <c r="D1032" s="205"/>
      <c r="E1032" s="205"/>
      <c r="F1032" s="402"/>
      <c r="G1032" s="402"/>
      <c r="H1032" s="402"/>
      <c r="I1032" s="402"/>
      <c r="J1032" s="402"/>
      <c r="K1032" s="790"/>
      <c r="L1032" s="791"/>
      <c r="M1032" s="791"/>
      <c r="N1032" s="792"/>
    </row>
    <row r="1033" spans="2:14" hidden="1">
      <c r="B1033" s="403">
        <v>3</v>
      </c>
      <c r="C1033" s="401"/>
      <c r="D1033" s="205"/>
      <c r="E1033" s="205"/>
      <c r="F1033" s="402"/>
      <c r="G1033" s="402"/>
      <c r="H1033" s="402"/>
      <c r="I1033" s="402"/>
      <c r="J1033" s="402"/>
      <c r="K1033" s="790"/>
      <c r="L1033" s="791"/>
      <c r="M1033" s="791"/>
      <c r="N1033" s="792"/>
    </row>
    <row r="1034" spans="2:14" hidden="1">
      <c r="B1034" s="403">
        <v>4</v>
      </c>
      <c r="C1034" s="401"/>
      <c r="D1034" s="205"/>
      <c r="E1034" s="205"/>
      <c r="F1034" s="402"/>
      <c r="G1034" s="402"/>
      <c r="H1034" s="402"/>
      <c r="I1034" s="402"/>
      <c r="J1034" s="402"/>
      <c r="K1034" s="790"/>
      <c r="L1034" s="791"/>
      <c r="M1034" s="791"/>
      <c r="N1034" s="792"/>
    </row>
    <row r="1035" spans="2:14" hidden="1">
      <c r="B1035" s="403">
        <v>5</v>
      </c>
      <c r="C1035" s="401"/>
      <c r="D1035" s="205"/>
      <c r="E1035" s="205"/>
      <c r="F1035" s="402"/>
      <c r="G1035" s="402"/>
      <c r="H1035" s="402"/>
      <c r="I1035" s="402"/>
      <c r="J1035" s="402"/>
      <c r="K1035" s="790"/>
      <c r="L1035" s="791"/>
      <c r="M1035" s="791"/>
      <c r="N1035" s="792"/>
    </row>
    <row r="1036" spans="2:14" hidden="1">
      <c r="B1036" s="403">
        <v>6</v>
      </c>
      <c r="C1036" s="401"/>
      <c r="D1036" s="205"/>
      <c r="E1036" s="205"/>
      <c r="F1036" s="402"/>
      <c r="G1036" s="402"/>
      <c r="H1036" s="402"/>
      <c r="I1036" s="402"/>
      <c r="J1036" s="402"/>
      <c r="K1036" s="790"/>
      <c r="L1036" s="791"/>
      <c r="M1036" s="791"/>
      <c r="N1036" s="792"/>
    </row>
    <row r="1037" spans="2:14" hidden="1">
      <c r="B1037" s="403">
        <v>7</v>
      </c>
      <c r="C1037" s="401"/>
      <c r="D1037" s="205"/>
      <c r="E1037" s="205"/>
      <c r="F1037" s="402"/>
      <c r="G1037" s="402"/>
      <c r="H1037" s="402"/>
      <c r="I1037" s="402"/>
      <c r="J1037" s="402"/>
      <c r="K1037" s="790"/>
      <c r="L1037" s="791"/>
      <c r="M1037" s="791"/>
      <c r="N1037" s="792"/>
    </row>
    <row r="1038" spans="2:14" hidden="1">
      <c r="B1038" s="403">
        <v>8</v>
      </c>
      <c r="C1038" s="401"/>
      <c r="D1038" s="205"/>
      <c r="E1038" s="205"/>
      <c r="F1038" s="402"/>
      <c r="G1038" s="402"/>
      <c r="H1038" s="402"/>
      <c r="I1038" s="402"/>
      <c r="J1038" s="402"/>
      <c r="K1038" s="790"/>
      <c r="L1038" s="791"/>
      <c r="M1038" s="791"/>
      <c r="N1038" s="792"/>
    </row>
    <row r="1039" spans="2:14" hidden="1">
      <c r="B1039" s="403">
        <v>9</v>
      </c>
      <c r="C1039" s="401"/>
      <c r="D1039" s="205"/>
      <c r="E1039" s="205"/>
      <c r="F1039" s="402"/>
      <c r="G1039" s="402"/>
      <c r="H1039" s="402"/>
      <c r="I1039" s="402"/>
      <c r="J1039" s="402"/>
      <c r="K1039" s="790"/>
      <c r="L1039" s="791"/>
      <c r="M1039" s="791"/>
      <c r="N1039" s="792"/>
    </row>
    <row r="1040" spans="2:14" hidden="1">
      <c r="B1040" s="403">
        <v>10</v>
      </c>
      <c r="C1040" s="401"/>
      <c r="D1040" s="205"/>
      <c r="E1040" s="205"/>
      <c r="F1040" s="402"/>
      <c r="G1040" s="402"/>
      <c r="H1040" s="402"/>
      <c r="I1040" s="402"/>
      <c r="J1040" s="402"/>
      <c r="K1040" s="790"/>
      <c r="L1040" s="791"/>
      <c r="M1040" s="791"/>
      <c r="N1040" s="792"/>
    </row>
    <row r="1041" spans="2:14" hidden="1">
      <c r="B1041" s="403">
        <v>11</v>
      </c>
      <c r="C1041" s="401"/>
      <c r="D1041" s="205"/>
      <c r="E1041" s="205"/>
      <c r="F1041" s="402"/>
      <c r="G1041" s="402"/>
      <c r="H1041" s="402"/>
      <c r="I1041" s="402"/>
      <c r="J1041" s="402"/>
      <c r="K1041" s="790"/>
      <c r="L1041" s="791"/>
      <c r="M1041" s="791"/>
      <c r="N1041" s="792"/>
    </row>
    <row r="1042" spans="2:14" hidden="1">
      <c r="B1042" s="403">
        <v>12</v>
      </c>
      <c r="C1042" s="401"/>
      <c r="D1042" s="205"/>
      <c r="E1042" s="205"/>
      <c r="F1042" s="402"/>
      <c r="G1042" s="402"/>
      <c r="H1042" s="402"/>
      <c r="I1042" s="402"/>
      <c r="J1042" s="402"/>
      <c r="K1042" s="790"/>
      <c r="L1042" s="791"/>
      <c r="M1042" s="791"/>
      <c r="N1042" s="792"/>
    </row>
    <row r="1043" spans="2:14" hidden="1">
      <c r="B1043" s="403">
        <v>13</v>
      </c>
      <c r="C1043" s="401"/>
      <c r="D1043" s="205"/>
      <c r="E1043" s="205"/>
      <c r="F1043" s="402"/>
      <c r="G1043" s="402"/>
      <c r="H1043" s="402"/>
      <c r="I1043" s="402"/>
      <c r="J1043" s="402"/>
      <c r="K1043" s="790"/>
      <c r="L1043" s="791"/>
      <c r="M1043" s="791"/>
      <c r="N1043" s="792"/>
    </row>
    <row r="1044" spans="2:14" hidden="1">
      <c r="B1044" s="403">
        <v>14</v>
      </c>
      <c r="C1044" s="401"/>
      <c r="D1044" s="205"/>
      <c r="E1044" s="205"/>
      <c r="F1044" s="402"/>
      <c r="G1044" s="402"/>
      <c r="H1044" s="402"/>
      <c r="I1044" s="402"/>
      <c r="J1044" s="402"/>
      <c r="K1044" s="790"/>
      <c r="L1044" s="791"/>
      <c r="M1044" s="791"/>
      <c r="N1044" s="792"/>
    </row>
    <row r="1045" spans="2:14" hidden="1">
      <c r="B1045" s="403">
        <v>15</v>
      </c>
      <c r="C1045" s="401"/>
      <c r="D1045" s="205"/>
      <c r="E1045" s="205"/>
      <c r="F1045" s="402"/>
      <c r="G1045" s="402"/>
      <c r="H1045" s="402"/>
      <c r="I1045" s="402"/>
      <c r="J1045" s="402"/>
      <c r="K1045" s="790"/>
      <c r="L1045" s="791"/>
      <c r="M1045" s="791"/>
      <c r="N1045" s="792"/>
    </row>
    <row r="1046" spans="2:14" hidden="1">
      <c r="B1046" s="403">
        <v>16</v>
      </c>
      <c r="C1046" s="401"/>
      <c r="D1046" s="205"/>
      <c r="E1046" s="205"/>
      <c r="F1046" s="402"/>
      <c r="G1046" s="402"/>
      <c r="H1046" s="402"/>
      <c r="I1046" s="402"/>
      <c r="J1046" s="402"/>
      <c r="K1046" s="790"/>
      <c r="L1046" s="791"/>
      <c r="M1046" s="791"/>
      <c r="N1046" s="792"/>
    </row>
    <row r="1047" spans="2:14" hidden="1">
      <c r="B1047" s="403">
        <v>17</v>
      </c>
      <c r="C1047" s="401"/>
      <c r="D1047" s="205"/>
      <c r="E1047" s="205"/>
      <c r="F1047" s="402"/>
      <c r="G1047" s="402"/>
      <c r="H1047" s="402"/>
      <c r="I1047" s="402"/>
      <c r="J1047" s="402"/>
      <c r="K1047" s="790"/>
      <c r="L1047" s="791"/>
      <c r="M1047" s="791"/>
      <c r="N1047" s="792"/>
    </row>
    <row r="1048" spans="2:14" hidden="1">
      <c r="B1048" s="403">
        <v>18</v>
      </c>
      <c r="C1048" s="401"/>
      <c r="D1048" s="205"/>
      <c r="E1048" s="205"/>
      <c r="F1048" s="402"/>
      <c r="G1048" s="402"/>
      <c r="H1048" s="402"/>
      <c r="I1048" s="402"/>
      <c r="J1048" s="402"/>
      <c r="K1048" s="790"/>
      <c r="L1048" s="791"/>
      <c r="M1048" s="791"/>
      <c r="N1048" s="792"/>
    </row>
    <row r="1049" spans="2:14" hidden="1">
      <c r="B1049" s="403">
        <v>19</v>
      </c>
      <c r="C1049" s="401"/>
      <c r="D1049" s="205"/>
      <c r="E1049" s="205"/>
      <c r="F1049" s="402"/>
      <c r="G1049" s="402"/>
      <c r="H1049" s="402"/>
      <c r="I1049" s="402"/>
      <c r="J1049" s="402"/>
      <c r="K1049" s="790"/>
      <c r="L1049" s="791"/>
      <c r="M1049" s="791"/>
      <c r="N1049" s="792"/>
    </row>
    <row r="1050" spans="2:14" hidden="1">
      <c r="B1050" s="403">
        <v>20</v>
      </c>
      <c r="C1050" s="401"/>
      <c r="D1050" s="404"/>
      <c r="E1050" s="402"/>
      <c r="F1050" s="402"/>
      <c r="G1050" s="402"/>
      <c r="H1050" s="402"/>
      <c r="I1050" s="402"/>
      <c r="J1050" s="402"/>
      <c r="K1050" s="790"/>
      <c r="L1050" s="791"/>
      <c r="M1050" s="791"/>
      <c r="N1050" s="792"/>
    </row>
    <row r="1051" spans="2:14" ht="15" customHeight="1">
      <c r="B1051" s="132"/>
      <c r="C1051" s="132"/>
      <c r="D1051" s="132"/>
      <c r="E1051" s="132"/>
      <c r="F1051" s="132"/>
      <c r="G1051" s="132"/>
      <c r="H1051" s="132"/>
      <c r="I1051" s="132"/>
      <c r="J1051" s="132"/>
      <c r="K1051" s="132"/>
      <c r="L1051" s="132"/>
      <c r="M1051" s="132"/>
      <c r="N1051" s="132"/>
    </row>
    <row r="1052" spans="2:14" ht="15" customHeight="1">
      <c r="F1052" s="455"/>
      <c r="G1052" s="455"/>
      <c r="H1052" s="455"/>
      <c r="I1052" s="455"/>
      <c r="J1052" s="455"/>
      <c r="K1052" s="455"/>
      <c r="L1052" s="455"/>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255" priority="54">
      <formula>$A$2="PRINT"</formula>
    </cfRule>
  </conditionalFormatting>
  <conditionalFormatting sqref="E71">
    <cfRule type="expression" dxfId="1254" priority="53">
      <formula>$A$2="PRINT"</formula>
    </cfRule>
  </conditionalFormatting>
  <conditionalFormatting sqref="E90">
    <cfRule type="expression" dxfId="1253" priority="52">
      <formula>$A$2="PRINT"</formula>
    </cfRule>
  </conditionalFormatting>
  <conditionalFormatting sqref="E109">
    <cfRule type="expression" dxfId="1252" priority="51">
      <formula>$A$2="PRINT"</formula>
    </cfRule>
  </conditionalFormatting>
  <conditionalFormatting sqref="E128">
    <cfRule type="expression" dxfId="1251" priority="50">
      <formula>$A$2="PRINT"</formula>
    </cfRule>
  </conditionalFormatting>
  <conditionalFormatting sqref="E147">
    <cfRule type="expression" dxfId="1250" priority="49">
      <formula>$A$2="PRINT"</formula>
    </cfRule>
  </conditionalFormatting>
  <conditionalFormatting sqref="E166">
    <cfRule type="expression" dxfId="1249" priority="48">
      <formula>$A$2="PRINT"</formula>
    </cfRule>
  </conditionalFormatting>
  <conditionalFormatting sqref="E185">
    <cfRule type="expression" dxfId="1248" priority="47">
      <formula>$A$2="PRINT"</formula>
    </cfRule>
  </conditionalFormatting>
  <conditionalFormatting sqref="E204">
    <cfRule type="expression" dxfId="1247" priority="46">
      <formula>$A$2="PRINT"</formula>
    </cfRule>
  </conditionalFormatting>
  <conditionalFormatting sqref="E223">
    <cfRule type="expression" dxfId="1246" priority="45">
      <formula>$A$2="PRINT"</formula>
    </cfRule>
  </conditionalFormatting>
  <conditionalFormatting sqref="E242">
    <cfRule type="expression" dxfId="1245" priority="44">
      <formula>$A$2="PRINT"</formula>
    </cfRule>
  </conditionalFormatting>
  <conditionalFormatting sqref="E261">
    <cfRule type="expression" dxfId="1244" priority="43">
      <formula>$A$2="PRINT"</formula>
    </cfRule>
  </conditionalFormatting>
  <conditionalFormatting sqref="E280">
    <cfRule type="expression" dxfId="1243" priority="42">
      <formula>$A$2="PRINT"</formula>
    </cfRule>
  </conditionalFormatting>
  <conditionalFormatting sqref="E299">
    <cfRule type="expression" dxfId="1242" priority="41">
      <formula>$A$2="PRINT"</formula>
    </cfRule>
  </conditionalFormatting>
  <conditionalFormatting sqref="E318">
    <cfRule type="expression" dxfId="1241" priority="40">
      <formula>$A$2="PRINT"</formula>
    </cfRule>
  </conditionalFormatting>
  <conditionalFormatting sqref="E337">
    <cfRule type="expression" dxfId="1240" priority="39">
      <formula>$A$2="PRINT"</formula>
    </cfRule>
  </conditionalFormatting>
  <conditionalFormatting sqref="E356">
    <cfRule type="expression" dxfId="1239" priority="38">
      <formula>$A$2="PRINT"</formula>
    </cfRule>
  </conditionalFormatting>
  <conditionalFormatting sqref="E375">
    <cfRule type="expression" dxfId="1238" priority="37">
      <formula>$A$2="PRINT"</formula>
    </cfRule>
  </conditionalFormatting>
  <conditionalFormatting sqref="E394">
    <cfRule type="expression" dxfId="1237" priority="36">
      <formula>$A$2="PRINT"</formula>
    </cfRule>
  </conditionalFormatting>
  <conditionalFormatting sqref="E413">
    <cfRule type="expression" dxfId="1236" priority="35">
      <formula>$A$2="PRINT"</formula>
    </cfRule>
  </conditionalFormatting>
  <conditionalFormatting sqref="E432">
    <cfRule type="expression" dxfId="1235" priority="34">
      <formula>$A$2="PRINT"</formula>
    </cfRule>
  </conditionalFormatting>
  <conditionalFormatting sqref="E451">
    <cfRule type="expression" dxfId="1234" priority="33">
      <formula>$A$2="PRINT"</formula>
    </cfRule>
  </conditionalFormatting>
  <conditionalFormatting sqref="E470">
    <cfRule type="expression" dxfId="1233" priority="32">
      <formula>$A$2="PRINT"</formula>
    </cfRule>
  </conditionalFormatting>
  <conditionalFormatting sqref="E489">
    <cfRule type="expression" dxfId="1232" priority="31">
      <formula>$A$2="PRINT"</formula>
    </cfRule>
  </conditionalFormatting>
  <conditionalFormatting sqref="E508">
    <cfRule type="expression" dxfId="1231" priority="30">
      <formula>$A$2="PRINT"</formula>
    </cfRule>
  </conditionalFormatting>
  <conditionalFormatting sqref="E527">
    <cfRule type="expression" dxfId="1230" priority="29">
      <formula>$A$2="PRINT"</formula>
    </cfRule>
  </conditionalFormatting>
  <conditionalFormatting sqref="E546">
    <cfRule type="expression" dxfId="1229" priority="28">
      <formula>$A$2="PRINT"</formula>
    </cfRule>
  </conditionalFormatting>
  <conditionalFormatting sqref="E565">
    <cfRule type="expression" dxfId="1228" priority="27">
      <formula>$A$2="PRINT"</formula>
    </cfRule>
  </conditionalFormatting>
  <conditionalFormatting sqref="E584">
    <cfRule type="expression" dxfId="1227" priority="26">
      <formula>$A$2="PRINT"</formula>
    </cfRule>
  </conditionalFormatting>
  <conditionalFormatting sqref="E603">
    <cfRule type="expression" dxfId="1226" priority="25">
      <formula>$A$2="PRINT"</formula>
    </cfRule>
  </conditionalFormatting>
  <conditionalFormatting sqref="E622">
    <cfRule type="expression" dxfId="1225" priority="24">
      <formula>$A$2="PRINT"</formula>
    </cfRule>
  </conditionalFormatting>
  <conditionalFormatting sqref="E641">
    <cfRule type="expression" dxfId="1224" priority="23">
      <formula>$A$2="PRINT"</formula>
    </cfRule>
  </conditionalFormatting>
  <conditionalFormatting sqref="E660">
    <cfRule type="expression" dxfId="1223" priority="22">
      <formula>$A$2="PRINT"</formula>
    </cfRule>
  </conditionalFormatting>
  <conditionalFormatting sqref="E679">
    <cfRule type="expression" dxfId="1222" priority="21">
      <formula>$A$2="PRINT"</formula>
    </cfRule>
  </conditionalFormatting>
  <conditionalFormatting sqref="E698">
    <cfRule type="expression" dxfId="1221" priority="20">
      <formula>$A$2="PRINT"</formula>
    </cfRule>
  </conditionalFormatting>
  <conditionalFormatting sqref="E717">
    <cfRule type="expression" dxfId="1220" priority="19">
      <formula>$A$2="PRINT"</formula>
    </cfRule>
  </conditionalFormatting>
  <conditionalFormatting sqref="E736">
    <cfRule type="expression" dxfId="1219" priority="18">
      <formula>$A$2="PRINT"</formula>
    </cfRule>
  </conditionalFormatting>
  <conditionalFormatting sqref="E755">
    <cfRule type="expression" dxfId="1218" priority="17">
      <formula>$A$2="PRINT"</formula>
    </cfRule>
  </conditionalFormatting>
  <conditionalFormatting sqref="E774">
    <cfRule type="expression" dxfId="1217" priority="16">
      <formula>$A$2="PRINT"</formula>
    </cfRule>
  </conditionalFormatting>
  <conditionalFormatting sqref="E793">
    <cfRule type="expression" dxfId="1216" priority="15">
      <formula>$A$2="PRINT"</formula>
    </cfRule>
  </conditionalFormatting>
  <conditionalFormatting sqref="E812">
    <cfRule type="expression" dxfId="1215" priority="14">
      <formula>$A$2="PRINT"</formula>
    </cfRule>
  </conditionalFormatting>
  <conditionalFormatting sqref="E831">
    <cfRule type="expression" dxfId="1214" priority="13">
      <formula>$A$2="PRINT"</formula>
    </cfRule>
  </conditionalFormatting>
  <conditionalFormatting sqref="E850">
    <cfRule type="expression" dxfId="1213" priority="12">
      <formula>$A$2="PRINT"</formula>
    </cfRule>
  </conditionalFormatting>
  <conditionalFormatting sqref="E869">
    <cfRule type="expression" dxfId="1212" priority="11">
      <formula>$A$2="PRINT"</formula>
    </cfRule>
  </conditionalFormatting>
  <conditionalFormatting sqref="E888">
    <cfRule type="expression" dxfId="1211" priority="10">
      <formula>$A$2="PRINT"</formula>
    </cfRule>
  </conditionalFormatting>
  <conditionalFormatting sqref="E907">
    <cfRule type="expression" dxfId="1210" priority="9">
      <formula>$A$2="PRINT"</formula>
    </cfRule>
  </conditionalFormatting>
  <conditionalFormatting sqref="E926">
    <cfRule type="expression" dxfId="1209" priority="8">
      <formula>$A$2="PRINT"</formula>
    </cfRule>
  </conditionalFormatting>
  <conditionalFormatting sqref="E945">
    <cfRule type="expression" dxfId="1208" priority="7">
      <formula>$A$2="PRINT"</formula>
    </cfRule>
  </conditionalFormatting>
  <conditionalFormatting sqref="E964">
    <cfRule type="expression" dxfId="1207" priority="6">
      <formula>$A$2="PRINT"</formula>
    </cfRule>
  </conditionalFormatting>
  <conditionalFormatting sqref="E983">
    <cfRule type="expression" dxfId="1206" priority="5">
      <formula>$A$2="PRINT"</formula>
    </cfRule>
  </conditionalFormatting>
  <conditionalFormatting sqref="E1002">
    <cfRule type="expression" dxfId="1205" priority="4">
      <formula>$A$2="PRINT"</formula>
    </cfRule>
  </conditionalFormatting>
  <conditionalFormatting sqref="B1031 B1033 B1035 B1037 B1039 B1041 B1043 B1045 B1047 B1049:B1050">
    <cfRule type="expression" dxfId="1204" priority="3">
      <formula>$A$2="PRINT"</formula>
    </cfRule>
  </conditionalFormatting>
  <conditionalFormatting sqref="B1032 B1034 B1036 B1038 B1040 B1042 B1044 B1046 B1048">
    <cfRule type="expression" dxfId="1203" priority="2">
      <formula>$A$2="PRINT"</formula>
    </cfRule>
  </conditionalFormatting>
  <conditionalFormatting sqref="D1027:F1027">
    <cfRule type="expression" dxfId="1202"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0F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0F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0F00-000002000000}">
      <formula1>"Click to select,PCP,Master Plan (non-PCP)"</formula1>
    </dataValidation>
    <dataValidation type="list" allowBlank="1" showErrorMessage="1" sqref="D6:F6" xr:uid="{00000000-0002-0000-0F00-000003000000}">
      <formula1>"Click to select number of new major investments,0,1,2,3,4,5,6,7,8,9,10,11,12,13,14,15,16,17,18,19,20,21,22,23,24,25,26,27,28,29,30,31,32,33,34,35,36,37,38,39,40,41,42,43,44,45,46,47,48,49,50"</formula1>
    </dataValidation>
    <dataValidation type="list" allowBlank="1" showErrorMessage="1" sqref="D1027:F1027" xr:uid="{00000000-0002-0000-0F00-000004000000}">
      <formula1>"Click to select number of new other investments,0,1,2,3,4,5,6,7,8,9,10,11,12,13,14,15,16,17,18,19,20"</formula1>
    </dataValidation>
  </dataValidations>
  <hyperlinks>
    <hyperlink ref="B10" location="'2.1 Investments_ANSP#1'!B83" tooltip="Go to Project #" display="1" xr:uid="{00000000-0004-0000-0F00-000000000000}"/>
    <hyperlink ref="B11" location="'2.1 Investments_ANSP#1'!B102" tooltip="Go to Project #" display="2" xr:uid="{00000000-0004-0000-0F00-000001000000}"/>
    <hyperlink ref="B12" location="'2.1 Investments_ANSP#1'!B121" tooltip="Go to Project #" display="3" xr:uid="{00000000-0004-0000-0F00-000002000000}"/>
    <hyperlink ref="B13" location="'2.1 Investments_ANSP#1'!B140" tooltip="Go to Project #" display="4" xr:uid="{00000000-0004-0000-0F00-000003000000}"/>
    <hyperlink ref="B14" location="'2.1 Investments_ANSP#1'!B159" tooltip="Go to Project #" display="5" xr:uid="{00000000-0004-0000-0F00-000004000000}"/>
    <hyperlink ref="B15" location="'2.1 Investments_ANSP#1'!B178" tooltip="Go to Project #" display="6" xr:uid="{00000000-0004-0000-0F00-000005000000}"/>
    <hyperlink ref="B16" location="'2.1 Investments_ANSP#1'!B197" tooltip="Go to Project #" display="7" xr:uid="{00000000-0004-0000-0F00-000006000000}"/>
    <hyperlink ref="B17" location="'2.1 Investments_ANSP#1'!B216" tooltip="Go to Project #" display="8" xr:uid="{00000000-0004-0000-0F00-000007000000}"/>
    <hyperlink ref="B18" location="'2.1 Investments_ANSP#1'!B235" tooltip="Go to Project #" display="9" xr:uid="{00000000-0004-0000-0F00-000008000000}"/>
    <hyperlink ref="B19" location="'2.1 Investments_ANSP#1'!B254" tooltip="Go to Project #" display="10" xr:uid="{00000000-0004-0000-0F00-000009000000}"/>
    <hyperlink ref="B20" location="'2.1 Investments_ANSP#1'!B273" tooltip="Go to Project #" display="11" xr:uid="{00000000-0004-0000-0F00-00000A000000}"/>
    <hyperlink ref="B21" location="'2.1 Investments_ANSP#1'!B292" tooltip="Go to Project #" display="12" xr:uid="{00000000-0004-0000-0F00-00000B000000}"/>
    <hyperlink ref="B22" location="'2.1 Investments_ANSP#1'!B311" tooltip="Go to Project #" display="13" xr:uid="{00000000-0004-0000-0F00-00000C000000}"/>
    <hyperlink ref="B23" location="'2.1 Investments_ANSP#1'!B330" tooltip="Go to Project #" display="14" xr:uid="{00000000-0004-0000-0F00-00000D000000}"/>
    <hyperlink ref="B24" location="'2.1 Investments_ANSP#1'!B349" tooltip="Go to Project #" display="15" xr:uid="{00000000-0004-0000-0F00-00000E000000}"/>
    <hyperlink ref="B25" location="'2.1 Investments_ANSP#1'!B368" tooltip="Go to Project #" display="16" xr:uid="{00000000-0004-0000-0F00-00000F000000}"/>
    <hyperlink ref="B26" location="'2.1 Investments_ANSP#1'!B387" tooltip="Go to Project #" display="17" xr:uid="{00000000-0004-0000-0F00-000010000000}"/>
    <hyperlink ref="B27" location="'2.1 Investments_ANSP#1'!B406" tooltip="Go to Project #" display="18" xr:uid="{00000000-0004-0000-0F00-000011000000}"/>
    <hyperlink ref="B28" location="'2.1 Investments_ANSP#1'!B425" tooltip="Go to Project #" display="19" xr:uid="{00000000-0004-0000-0F00-000012000000}"/>
    <hyperlink ref="B29" location="'2.1 Investments_ANSP#1'!B444" tooltip="Go to Project #" display="20" xr:uid="{00000000-0004-0000-0F00-000013000000}"/>
    <hyperlink ref="B30" location="'2.1 Investments_ANSP#1'!B463" tooltip="Go to Project #" display="21" xr:uid="{00000000-0004-0000-0F00-000014000000}"/>
    <hyperlink ref="B31" location="'2.1 Investments_ANSP#1'!B482" tooltip="Go to Project #" display="22" xr:uid="{00000000-0004-0000-0F00-000015000000}"/>
    <hyperlink ref="B32" location="'2.1 Investments_ANSP#1'!B501" tooltip="Go to Project #" display="23" xr:uid="{00000000-0004-0000-0F00-000016000000}"/>
    <hyperlink ref="B33" location="'2.1 Investments_ANSP#1'!B520" tooltip="Go to Project #" display="24" xr:uid="{00000000-0004-0000-0F00-000017000000}"/>
    <hyperlink ref="B34" location="'2.1 Investments_ANSP#1'!B539" tooltip="Go to Project #" display="25" xr:uid="{00000000-0004-0000-0F00-000018000000}"/>
    <hyperlink ref="B35" location="'2.1 Investments_ANSP#1'!B558" tooltip="Go to Project #" display="26" xr:uid="{00000000-0004-0000-0F00-000019000000}"/>
    <hyperlink ref="B36" location="'2.1 Investments_ANSP#1'!B577" tooltip="Go to Project #" display="27" xr:uid="{00000000-0004-0000-0F00-00001A000000}"/>
    <hyperlink ref="B37" location="'2.1 Investments_ANSP#1'!B596" tooltip="Go to Project #" display="28" xr:uid="{00000000-0004-0000-0F00-00001B000000}"/>
    <hyperlink ref="B38" location="'2.1 Investments_ANSP#1'!B615" tooltip="Go to Project #" display="29" xr:uid="{00000000-0004-0000-0F00-00001C000000}"/>
    <hyperlink ref="B39" location="'2.1 Investments_ANSP#1'!B634" tooltip="Go to Project #" display="30" xr:uid="{00000000-0004-0000-0F00-00001D000000}"/>
    <hyperlink ref="B40" location="'2.1 Investments_ANSP#1'!B653" tooltip="Go to Project #" display="31" xr:uid="{00000000-0004-0000-0F00-00001E000000}"/>
    <hyperlink ref="B41" location="'2.1 Investments_ANSP#1'!B672" tooltip="Go to Project #" display="32" xr:uid="{00000000-0004-0000-0F00-00001F000000}"/>
    <hyperlink ref="B42" location="'2.1 Investments_ANSP#1'!B691" tooltip="Go to Project #" display="33" xr:uid="{00000000-0004-0000-0F00-000020000000}"/>
    <hyperlink ref="B43" location="'2.1 Investments_ANSP#1'!B710" tooltip="Go to Project #" display="34" xr:uid="{00000000-0004-0000-0F00-000021000000}"/>
    <hyperlink ref="B44" location="'2.1 Investments_ANSP#1'!B729" tooltip="Go to Project #" display="35" xr:uid="{00000000-0004-0000-0F00-000022000000}"/>
    <hyperlink ref="B45" location="'2.1 Investments_ANSP#1'!B748" tooltip="Go to Project #" display="36" xr:uid="{00000000-0004-0000-0F00-000023000000}"/>
    <hyperlink ref="B46" location="'2.1 Investments_ANSP#1'!B767" tooltip="Go to Project #" display="37" xr:uid="{00000000-0004-0000-0F00-000024000000}"/>
    <hyperlink ref="B47" location="'2.1 Investments_ANSP#1'!B786" tooltip="Go to Project #" display="38" xr:uid="{00000000-0004-0000-0F00-000025000000}"/>
    <hyperlink ref="B48" location="'2.1 Investments_ANSP#1'!B805" tooltip="Go to Project #" display="39" xr:uid="{00000000-0004-0000-0F00-000026000000}"/>
    <hyperlink ref="B49" location="'2.1 Investments_ANSP#1'!B824" tooltip="Go to Project #" display="40" xr:uid="{00000000-0004-0000-0F00-000027000000}"/>
    <hyperlink ref="B50" location="'2.1 Investments_ANSP#1'!B843" tooltip="Go to Project #" display="41" xr:uid="{00000000-0004-0000-0F00-000028000000}"/>
    <hyperlink ref="B51" location="'2.1 Investments_ANSP#1'!B862" tooltip="Go to Project #" display="42" xr:uid="{00000000-0004-0000-0F00-000029000000}"/>
    <hyperlink ref="B52" location="'2.1 Investments_ANSP#1'!B881" tooltip="Go to Project #" display="43" xr:uid="{00000000-0004-0000-0F00-00002A000000}"/>
    <hyperlink ref="B53" location="'2.1 Investments_ANSP#1'!B900" tooltip="Go to Project #" display="44" xr:uid="{00000000-0004-0000-0F00-00002B000000}"/>
    <hyperlink ref="B54" location="'2.1 Investments_ANSP#1'!B919" tooltip="Go to Project #" display="45" xr:uid="{00000000-0004-0000-0F00-00002C000000}"/>
    <hyperlink ref="B55" location="'2.1 Investments_ANSP#1'!B938" tooltip="Go to Project #" display="46" xr:uid="{00000000-0004-0000-0F00-00002D000000}"/>
    <hyperlink ref="B56" location="'2.1 Investments_ANSP#1'!B957" tooltip="Go to Project #" display="47" xr:uid="{00000000-0004-0000-0F00-00002E000000}"/>
    <hyperlink ref="B57" location="'2.1 Investments_ANSP#1'!B976" tooltip="Go to Project #" display="48" xr:uid="{00000000-0004-0000-0F00-00002F000000}"/>
    <hyperlink ref="B58" location="'2.1 Investments_ANSP#1'!B995" tooltip="Go to Project #" display="49" xr:uid="{00000000-0004-0000-0F00-000030000000}"/>
    <hyperlink ref="B59" location="'2.1 Investments_ANSP#1'!B1014" tooltip="Go to Project #" display="50" xr:uid="{00000000-0004-0000-0F00-000031000000}"/>
    <hyperlink ref="A69" location="'2.1 Investments_ANSP#1'!B4" tooltip="Go to top" display="'2.1 Investments_ANSP#1'!B4" xr:uid="{00000000-0004-0000-0F00-000032000000}"/>
    <hyperlink ref="A943" location="'2.1 Investments_ANSP#1'!B4" tooltip="Go to top" display="'2.1 Investments_ANSP#1'!B4" xr:uid="{00000000-0004-0000-0F00-000033000000}"/>
    <hyperlink ref="A962" location="'2.1 Investments_ANSP#1'!B4" tooltip="Go to top" display="'2.1 Investments_ANSP#1'!B4" xr:uid="{00000000-0004-0000-0F00-000034000000}"/>
    <hyperlink ref="A981" location="'2.1 Investments_ANSP#1'!B4" tooltip="Go to top" display="'2.1 Investments_ANSP#1'!B4" xr:uid="{00000000-0004-0000-0F00-000035000000}"/>
    <hyperlink ref="A1000" location="'2.1 Investments_ANSP#1'!B4" tooltip="Go to top" display="'2.1 Investments_ANSP#1'!B4" xr:uid="{00000000-0004-0000-0F00-000036000000}"/>
    <hyperlink ref="A88" location="'2.1 Investments_ANSP#1'!B4" tooltip="Go to top" display="'2.1 Investments_ANSP#1'!B4" xr:uid="{00000000-0004-0000-0F00-000037000000}"/>
    <hyperlink ref="A107" location="'2.1 Investments_ANSP#1'!B4" tooltip="Go to top" display="'2.1 Investments_ANSP#1'!B4" xr:uid="{00000000-0004-0000-0F00-000038000000}"/>
    <hyperlink ref="A126" location="'2.1 Investments_ANSP#1'!B4" tooltip="Go to top" display="'2.1 Investments_ANSP#1'!B4" xr:uid="{00000000-0004-0000-0F00-000039000000}"/>
    <hyperlink ref="A145" location="'2.1 Investments_ANSP#1'!B4" tooltip="Go to top" display="'2.1 Investments_ANSP#1'!B4" xr:uid="{00000000-0004-0000-0F00-00003A000000}"/>
    <hyperlink ref="A164" location="'2.1 Investments_ANSP#1'!B4" tooltip="Go to top" display="'2.1 Investments_ANSP#1'!B4" xr:uid="{00000000-0004-0000-0F00-00003B000000}"/>
    <hyperlink ref="A183" location="'2.1 Investments_ANSP#1'!B4" tooltip="Go to top" display="'2.1 Investments_ANSP#1'!B4" xr:uid="{00000000-0004-0000-0F00-00003C000000}"/>
    <hyperlink ref="A202" location="'2.1 Investments_ANSP#1'!B4" tooltip="Go to top" display="'2.1 Investments_ANSP#1'!B4" xr:uid="{00000000-0004-0000-0F00-00003D000000}"/>
    <hyperlink ref="A221" location="'2.1 Investments_ANSP#1'!B4" tooltip="Go to top" display="'2.1 Investments_ANSP#1'!B4" xr:uid="{00000000-0004-0000-0F00-00003E000000}"/>
    <hyperlink ref="A240" location="'2.1 Investments_ANSP#1'!B4" tooltip="Go to top" display="'2.1 Investments_ANSP#1'!B4" xr:uid="{00000000-0004-0000-0F00-00003F000000}"/>
    <hyperlink ref="A259" location="'2.1 Investments_ANSP#1'!B4" tooltip="Go to top" display="'2.1 Investments_ANSP#1'!B4" xr:uid="{00000000-0004-0000-0F00-000040000000}"/>
    <hyperlink ref="A278" location="'2.1 Investments_ANSP#1'!B4" tooltip="Go to top" display="'2.1 Investments_ANSP#1'!B4" xr:uid="{00000000-0004-0000-0F00-000041000000}"/>
    <hyperlink ref="A297" location="'2.1 Investments_ANSP#1'!B4" tooltip="Go to top" display="'2.1 Investments_ANSP#1'!B4" xr:uid="{00000000-0004-0000-0F00-000042000000}"/>
    <hyperlink ref="A316" location="'2.1 Investments_ANSP#1'!B4" tooltip="Go to top" display="'2.1 Investments_ANSP#1'!B4" xr:uid="{00000000-0004-0000-0F00-000043000000}"/>
    <hyperlink ref="A335" location="'2.1 Investments_ANSP#1'!B4" tooltip="Go to top" display="'2.1 Investments_ANSP#1'!B4" xr:uid="{00000000-0004-0000-0F00-000044000000}"/>
    <hyperlink ref="A354" location="'2.1 Investments_ANSP#1'!B4" tooltip="Go to top" display="'2.1 Investments_ANSP#1'!B4" xr:uid="{00000000-0004-0000-0F00-000045000000}"/>
    <hyperlink ref="A373" location="'2.1 Investments_ANSP#1'!B4" tooltip="Go to top" display="'2.1 Investments_ANSP#1'!B4" xr:uid="{00000000-0004-0000-0F00-000046000000}"/>
    <hyperlink ref="A392" location="'2.1 Investments_ANSP#1'!B4" tooltip="Go to top" display="'2.1 Investments_ANSP#1'!B4" xr:uid="{00000000-0004-0000-0F00-000047000000}"/>
    <hyperlink ref="A411" location="'2.1 Investments_ANSP#1'!B4" tooltip="Go to top" display="'2.1 Investments_ANSP#1'!B4" xr:uid="{00000000-0004-0000-0F00-000048000000}"/>
    <hyperlink ref="A430" location="'2.1 Investments_ANSP#1'!B4" tooltip="Go to top" display="'2.1 Investments_ANSP#1'!B4" xr:uid="{00000000-0004-0000-0F00-000049000000}"/>
    <hyperlink ref="A449" location="'2.1 Investments_ANSP#1'!B4" tooltip="Go to top" display="'2.1 Investments_ANSP#1'!B4" xr:uid="{00000000-0004-0000-0F00-00004A000000}"/>
    <hyperlink ref="A468" location="'2.1 Investments_ANSP#1'!B4" tooltip="Go to top" display="'2.1 Investments_ANSP#1'!B4" xr:uid="{00000000-0004-0000-0F00-00004B000000}"/>
    <hyperlink ref="A487" location="'2.1 Investments_ANSP#1'!B4" tooltip="Go to top" display="'2.1 Investments_ANSP#1'!B4" xr:uid="{00000000-0004-0000-0F00-00004C000000}"/>
    <hyperlink ref="A506" location="'2.1 Investments_ANSP#1'!B4" tooltip="Go to top" display="'2.1 Investments_ANSP#1'!B4" xr:uid="{00000000-0004-0000-0F00-00004D000000}"/>
    <hyperlink ref="A525" location="'2.1 Investments_ANSP#1'!B4" tooltip="Go to top" display="'2.1 Investments_ANSP#1'!B4" xr:uid="{00000000-0004-0000-0F00-00004E000000}"/>
    <hyperlink ref="A544" location="'2.1 Investments_ANSP#1'!B4" tooltip="Go to top" display="'2.1 Investments_ANSP#1'!B4" xr:uid="{00000000-0004-0000-0F00-00004F000000}"/>
    <hyperlink ref="A563" location="'2.1 Investments_ANSP#1'!B4" tooltip="Go to top" display="'2.1 Investments_ANSP#1'!B4" xr:uid="{00000000-0004-0000-0F00-000050000000}"/>
    <hyperlink ref="A582" location="'2.1 Investments_ANSP#1'!B4" tooltip="Go to top" display="'2.1 Investments_ANSP#1'!B4" xr:uid="{00000000-0004-0000-0F00-000051000000}"/>
    <hyperlink ref="A601" location="'2.1 Investments_ANSP#1'!B4" tooltip="Go to top" display="'2.1 Investments_ANSP#1'!B4" xr:uid="{00000000-0004-0000-0F00-000052000000}"/>
    <hyperlink ref="A620" location="'2.1 Investments_ANSP#1'!B4" tooltip="Go to top" display="'2.1 Investments_ANSP#1'!B4" xr:uid="{00000000-0004-0000-0F00-000053000000}"/>
    <hyperlink ref="A639" location="'2.1 Investments_ANSP#1'!B4" tooltip="Go to top" display="'2.1 Investments_ANSP#1'!B4" xr:uid="{00000000-0004-0000-0F00-000054000000}"/>
    <hyperlink ref="A658" location="'2.1 Investments_ANSP#1'!B4" tooltip="Go to top" display="'2.1 Investments_ANSP#1'!B4" xr:uid="{00000000-0004-0000-0F00-000055000000}"/>
    <hyperlink ref="A677" location="'2.1 Investments_ANSP#1'!B4" tooltip="Go to top" display="'2.1 Investments_ANSP#1'!B4" xr:uid="{00000000-0004-0000-0F00-000056000000}"/>
    <hyperlink ref="A696" location="'2.1 Investments_ANSP#1'!B4" tooltip="Go to top" display="'2.1 Investments_ANSP#1'!B4" xr:uid="{00000000-0004-0000-0F00-000057000000}"/>
    <hyperlink ref="A715" location="'2.1 Investments_ANSP#1'!B4" tooltip="Go to top" display="'2.1 Investments_ANSP#1'!B4" xr:uid="{00000000-0004-0000-0F00-000058000000}"/>
    <hyperlink ref="A734" location="'2.1 Investments_ANSP#1'!B4" tooltip="Go to top" display="'2.1 Investments_ANSP#1'!B4" xr:uid="{00000000-0004-0000-0F00-000059000000}"/>
    <hyperlink ref="A753" location="'2.1 Investments_ANSP#1'!B4" tooltip="Go to top" display="'2.1 Investments_ANSP#1'!B4" xr:uid="{00000000-0004-0000-0F00-00005A000000}"/>
    <hyperlink ref="A772" location="'2.1 Investments_ANSP#1'!B4" tooltip="Go to top" display="'2.1 Investments_ANSP#1'!B4" xr:uid="{00000000-0004-0000-0F00-00005B000000}"/>
    <hyperlink ref="A791" location="'2.1 Investments_ANSP#1'!B4" tooltip="Go to top" display="'2.1 Investments_ANSP#1'!B4" xr:uid="{00000000-0004-0000-0F00-00005C000000}"/>
    <hyperlink ref="A810" location="'2.1 Investments_ANSP#1'!B4" tooltip="Go to top" display="'2.1 Investments_ANSP#1'!B4" xr:uid="{00000000-0004-0000-0F00-00005D000000}"/>
    <hyperlink ref="A829" location="'2.1 Investments_ANSP#1'!B4" tooltip="Go to top" display="'2.1 Investments_ANSP#1'!B4" xr:uid="{00000000-0004-0000-0F00-00005E000000}"/>
    <hyperlink ref="A848" location="'2.1 Investments_ANSP#1'!B4" tooltip="Go to top" display="'2.1 Investments_ANSP#1'!B4" xr:uid="{00000000-0004-0000-0F00-00005F000000}"/>
    <hyperlink ref="A867" location="'2.1 Investments_ANSP#1'!B4" tooltip="Go to top" display="'2.1 Investments_ANSP#1'!B4" xr:uid="{00000000-0004-0000-0F00-000060000000}"/>
    <hyperlink ref="A886" location="'2.1 Investments_ANSP#1'!B4" tooltip="Go to top" display="'2.1 Investments_ANSP#1'!B4" xr:uid="{00000000-0004-0000-0F00-000061000000}"/>
    <hyperlink ref="A905" location="'2.1 Investments_ANSP#1'!B4" tooltip="Go to top" display="'2.1 Investments_ANSP#1'!B4" xr:uid="{00000000-0004-0000-0F00-000062000000}"/>
    <hyperlink ref="A924" location="'2.1 Investments_ANSP#1'!B4" tooltip="Go to top" display="'2.1 Investments_ANSP#1'!B4" xr:uid="{00000000-0004-0000-0F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0">
    <tabColor theme="2" tint="-0.249977111117893"/>
    <pageSetUpPr fitToPage="1"/>
  </sheetPr>
  <dimension ref="A1:Q1052"/>
  <sheetViews>
    <sheetView showGridLines="0" zoomScaleNormal="100" workbookViewId="0">
      <selection activeCell="B2" sqref="B2"/>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"2.4 - Investments - "&amp;'1.1 The situation'!$B$16</f>
        <v xml:space="preserve">2.4 - Investments - </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1018</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t="s">
        <v>1378</v>
      </c>
      <c r="E6" s="850"/>
      <c r="F6" s="850"/>
      <c r="G6" s="144"/>
    </row>
    <row r="7" spans="1:17" ht="15" customHeight="1">
      <c r="B7" s="132"/>
      <c r="C7" s="132"/>
      <c r="D7" s="132"/>
      <c r="E7" s="132"/>
      <c r="F7" s="132"/>
    </row>
    <row r="8" spans="1:17" ht="30" customHeight="1">
      <c r="B8" s="673" t="s">
        <v>361</v>
      </c>
      <c r="C8" s="673" t="s">
        <v>324</v>
      </c>
      <c r="D8" s="673" t="s">
        <v>316</v>
      </c>
      <c r="E8" s="673" t="s">
        <v>993</v>
      </c>
      <c r="F8" s="673" t="s">
        <v>317</v>
      </c>
      <c r="G8" s="673"/>
      <c r="H8" s="673"/>
      <c r="I8" s="673"/>
      <c r="J8" s="673"/>
      <c r="K8" s="673" t="s">
        <v>40</v>
      </c>
      <c r="L8" s="673" t="s">
        <v>362</v>
      </c>
      <c r="M8" s="674"/>
      <c r="N8" s="673" t="s">
        <v>358</v>
      </c>
      <c r="O8" s="144"/>
      <c r="Q8" s="43"/>
    </row>
    <row r="9" spans="1:17" ht="29.25" customHeight="1">
      <c r="B9" s="673" t="s">
        <v>361</v>
      </c>
      <c r="C9" s="673"/>
      <c r="D9" s="673"/>
      <c r="E9" s="833"/>
      <c r="F9" s="198">
        <v>2020</v>
      </c>
      <c r="G9" s="198">
        <v>2021</v>
      </c>
      <c r="H9" s="198">
        <v>2022</v>
      </c>
      <c r="I9" s="198">
        <v>2023</v>
      </c>
      <c r="J9" s="198">
        <v>2024</v>
      </c>
      <c r="K9" s="673"/>
      <c r="L9" s="136" t="s">
        <v>303</v>
      </c>
      <c r="M9" s="136" t="s">
        <v>264</v>
      </c>
      <c r="N9" s="673"/>
      <c r="O9" s="144"/>
    </row>
    <row r="10" spans="1:17" hidden="1">
      <c r="A10" s="216"/>
      <c r="B10" s="217">
        <v>1</v>
      </c>
      <c r="C10" s="218"/>
      <c r="D10" s="205"/>
      <c r="E10" s="205"/>
      <c r="F10" s="205"/>
      <c r="G10" s="205"/>
      <c r="H10" s="205"/>
      <c r="I10" s="205"/>
      <c r="J10" s="205"/>
      <c r="K10" s="205"/>
      <c r="L10" s="219"/>
      <c r="M10" s="219"/>
      <c r="N10" s="220"/>
      <c r="O10" s="144"/>
    </row>
    <row r="11" spans="1:17" hidden="1">
      <c r="A11" s="216"/>
      <c r="B11" s="217">
        <v>2</v>
      </c>
      <c r="C11" s="218"/>
      <c r="D11" s="205"/>
      <c r="E11" s="205"/>
      <c r="F11" s="205"/>
      <c r="G11" s="205"/>
      <c r="H11" s="205"/>
      <c r="I11" s="205"/>
      <c r="J11" s="205"/>
      <c r="K11" s="205"/>
      <c r="L11" s="219"/>
      <c r="M11" s="219"/>
      <c r="N11" s="220"/>
      <c r="O11" s="144"/>
    </row>
    <row r="12" spans="1:17" hidden="1">
      <c r="A12" s="216"/>
      <c r="B12" s="217">
        <v>3</v>
      </c>
      <c r="C12" s="218"/>
      <c r="D12" s="205"/>
      <c r="E12" s="205"/>
      <c r="F12" s="205"/>
      <c r="G12" s="205"/>
      <c r="H12" s="205"/>
      <c r="I12" s="205"/>
      <c r="J12" s="205"/>
      <c r="K12" s="205"/>
      <c r="L12" s="219"/>
      <c r="M12" s="219"/>
      <c r="N12" s="220"/>
      <c r="O12" s="144"/>
    </row>
    <row r="13" spans="1:17" hidden="1">
      <c r="A13" s="216"/>
      <c r="B13" s="217">
        <v>4</v>
      </c>
      <c r="C13" s="218"/>
      <c r="D13" s="205"/>
      <c r="E13" s="205"/>
      <c r="F13" s="205"/>
      <c r="G13" s="205"/>
      <c r="H13" s="205"/>
      <c r="I13" s="205"/>
      <c r="J13" s="205"/>
      <c r="K13" s="205"/>
      <c r="L13" s="219"/>
      <c r="M13" s="219"/>
      <c r="N13" s="220"/>
      <c r="O13" s="144"/>
    </row>
    <row r="14" spans="1:17" hidden="1">
      <c r="A14" s="216"/>
      <c r="B14" s="217">
        <v>5</v>
      </c>
      <c r="C14" s="218"/>
      <c r="D14" s="205"/>
      <c r="E14" s="205"/>
      <c r="F14" s="205"/>
      <c r="G14" s="205"/>
      <c r="H14" s="205"/>
      <c r="I14" s="205"/>
      <c r="J14" s="205"/>
      <c r="K14" s="205"/>
      <c r="L14" s="219"/>
      <c r="M14" s="219"/>
      <c r="N14" s="220"/>
      <c r="O14" s="144"/>
    </row>
    <row r="15" spans="1:17" hidden="1">
      <c r="A15" s="216"/>
      <c r="B15" s="217">
        <v>6</v>
      </c>
      <c r="C15" s="218"/>
      <c r="D15" s="205"/>
      <c r="E15" s="205"/>
      <c r="F15" s="205"/>
      <c r="G15" s="205"/>
      <c r="H15" s="205"/>
      <c r="I15" s="205"/>
      <c r="J15" s="205"/>
      <c r="K15" s="205"/>
      <c r="L15" s="219"/>
      <c r="M15" s="219"/>
      <c r="N15" s="220"/>
      <c r="O15" s="144"/>
    </row>
    <row r="16" spans="1:17" hidden="1">
      <c r="A16" s="216"/>
      <c r="B16" s="217">
        <v>7</v>
      </c>
      <c r="C16" s="218"/>
      <c r="D16" s="205"/>
      <c r="E16" s="205"/>
      <c r="F16" s="205"/>
      <c r="G16" s="205"/>
      <c r="H16" s="205"/>
      <c r="I16" s="205"/>
      <c r="J16" s="205"/>
      <c r="K16" s="205"/>
      <c r="L16" s="219"/>
      <c r="M16" s="219"/>
      <c r="N16" s="220"/>
      <c r="O16" s="144"/>
    </row>
    <row r="17" spans="1:15" hidden="1">
      <c r="A17" s="216"/>
      <c r="B17" s="217">
        <v>8</v>
      </c>
      <c r="C17" s="218"/>
      <c r="D17" s="205"/>
      <c r="E17" s="205"/>
      <c r="F17" s="205"/>
      <c r="G17" s="205"/>
      <c r="H17" s="205"/>
      <c r="I17" s="205"/>
      <c r="J17" s="205"/>
      <c r="K17" s="205"/>
      <c r="L17" s="219"/>
      <c r="M17" s="219"/>
      <c r="N17" s="220"/>
      <c r="O17" s="144"/>
    </row>
    <row r="18" spans="1:15" ht="15" hidden="1" customHeight="1">
      <c r="A18" s="216"/>
      <c r="B18" s="217">
        <v>9</v>
      </c>
      <c r="C18" s="218"/>
      <c r="D18" s="205"/>
      <c r="E18" s="205"/>
      <c r="F18" s="205"/>
      <c r="G18" s="205"/>
      <c r="H18" s="205"/>
      <c r="I18" s="205"/>
      <c r="J18" s="205"/>
      <c r="K18" s="205"/>
      <c r="L18" s="219"/>
      <c r="M18" s="219"/>
      <c r="N18" s="220"/>
      <c r="O18" s="144"/>
    </row>
    <row r="19" spans="1:15" ht="15" hidden="1" customHeight="1">
      <c r="A19" s="216"/>
      <c r="B19" s="217">
        <v>10</v>
      </c>
      <c r="C19" s="218"/>
      <c r="D19" s="205"/>
      <c r="E19" s="205"/>
      <c r="F19" s="205"/>
      <c r="G19" s="205"/>
      <c r="H19" s="205"/>
      <c r="I19" s="205"/>
      <c r="J19" s="205"/>
      <c r="K19" s="205"/>
      <c r="L19" s="219"/>
      <c r="M19" s="219"/>
      <c r="N19" s="220"/>
      <c r="O19" s="144"/>
    </row>
    <row r="20" spans="1:15" hidden="1">
      <c r="A20" s="216"/>
      <c r="B20" s="217">
        <v>11</v>
      </c>
      <c r="C20" s="218"/>
      <c r="D20" s="205"/>
      <c r="E20" s="205"/>
      <c r="F20" s="205"/>
      <c r="G20" s="205"/>
      <c r="H20" s="205"/>
      <c r="I20" s="205"/>
      <c r="J20" s="205"/>
      <c r="K20" s="205"/>
      <c r="L20" s="219"/>
      <c r="M20" s="219"/>
      <c r="N20" s="220"/>
      <c r="O20" s="144"/>
    </row>
    <row r="21" spans="1:15" ht="15" hidden="1" customHeight="1">
      <c r="A21" s="216"/>
      <c r="B21" s="217">
        <v>12</v>
      </c>
      <c r="C21" s="218"/>
      <c r="D21" s="205"/>
      <c r="E21" s="205"/>
      <c r="F21" s="205"/>
      <c r="G21" s="205"/>
      <c r="H21" s="205"/>
      <c r="I21" s="205"/>
      <c r="J21" s="205"/>
      <c r="K21" s="205"/>
      <c r="L21" s="219"/>
      <c r="M21" s="219"/>
      <c r="N21" s="220"/>
      <c r="O21" s="144"/>
    </row>
    <row r="22" spans="1:15" hidden="1">
      <c r="A22" s="216"/>
      <c r="B22" s="217">
        <v>13</v>
      </c>
      <c r="C22" s="218"/>
      <c r="D22" s="205"/>
      <c r="E22" s="205"/>
      <c r="F22" s="205"/>
      <c r="G22" s="205"/>
      <c r="H22" s="205"/>
      <c r="I22" s="205"/>
      <c r="J22" s="205"/>
      <c r="K22" s="205"/>
      <c r="L22" s="219"/>
      <c r="M22" s="219"/>
      <c r="N22" s="220"/>
      <c r="O22" s="144"/>
    </row>
    <row r="23" spans="1:15" hidden="1">
      <c r="A23" s="216"/>
      <c r="B23" s="217">
        <v>14</v>
      </c>
      <c r="C23" s="218"/>
      <c r="D23" s="205"/>
      <c r="E23" s="205"/>
      <c r="F23" s="205"/>
      <c r="G23" s="205"/>
      <c r="H23" s="205"/>
      <c r="I23" s="205"/>
      <c r="J23" s="205"/>
      <c r="K23" s="205"/>
      <c r="L23" s="219"/>
      <c r="M23" s="219"/>
      <c r="N23" s="220"/>
      <c r="O23" s="144"/>
    </row>
    <row r="24" spans="1:15" hidden="1">
      <c r="A24" s="216"/>
      <c r="B24" s="217">
        <v>15</v>
      </c>
      <c r="C24" s="218"/>
      <c r="D24" s="205"/>
      <c r="E24" s="205"/>
      <c r="F24" s="205"/>
      <c r="G24" s="205"/>
      <c r="H24" s="205"/>
      <c r="I24" s="205"/>
      <c r="J24" s="205"/>
      <c r="K24" s="205"/>
      <c r="L24" s="219"/>
      <c r="M24" s="219"/>
      <c r="N24" s="220"/>
      <c r="O24" s="144"/>
    </row>
    <row r="25" spans="1:15" hidden="1">
      <c r="A25" s="216"/>
      <c r="B25" s="217">
        <v>16</v>
      </c>
      <c r="C25" s="218"/>
      <c r="D25" s="205"/>
      <c r="E25" s="205"/>
      <c r="F25" s="205"/>
      <c r="G25" s="205"/>
      <c r="H25" s="205"/>
      <c r="I25" s="205"/>
      <c r="J25" s="205"/>
      <c r="K25" s="205"/>
      <c r="L25" s="219"/>
      <c r="M25" s="219"/>
      <c r="N25" s="220"/>
      <c r="O25" s="144"/>
    </row>
    <row r="26" spans="1:15" hidden="1">
      <c r="A26" s="216"/>
      <c r="B26" s="217">
        <v>17</v>
      </c>
      <c r="C26" s="218"/>
      <c r="D26" s="205"/>
      <c r="E26" s="205"/>
      <c r="F26" s="205"/>
      <c r="G26" s="205"/>
      <c r="H26" s="205"/>
      <c r="I26" s="205"/>
      <c r="J26" s="205"/>
      <c r="K26" s="205"/>
      <c r="L26" s="219"/>
      <c r="M26" s="219"/>
      <c r="N26" s="220"/>
      <c r="O26" s="144"/>
    </row>
    <row r="27" spans="1:15" hidden="1">
      <c r="A27" s="216"/>
      <c r="B27" s="217">
        <v>18</v>
      </c>
      <c r="C27" s="218"/>
      <c r="D27" s="205"/>
      <c r="E27" s="205"/>
      <c r="F27" s="205"/>
      <c r="G27" s="205"/>
      <c r="H27" s="205"/>
      <c r="I27" s="205"/>
      <c r="J27" s="205"/>
      <c r="K27" s="205"/>
      <c r="L27" s="219"/>
      <c r="M27" s="219"/>
      <c r="N27" s="220"/>
      <c r="O27" s="144"/>
    </row>
    <row r="28" spans="1:15" hidden="1">
      <c r="A28" s="216"/>
      <c r="B28" s="217">
        <v>19</v>
      </c>
      <c r="C28" s="218"/>
      <c r="D28" s="205"/>
      <c r="E28" s="205"/>
      <c r="F28" s="205"/>
      <c r="G28" s="205"/>
      <c r="H28" s="205"/>
      <c r="I28" s="205"/>
      <c r="J28" s="205"/>
      <c r="K28" s="205"/>
      <c r="L28" s="219"/>
      <c r="M28" s="219"/>
      <c r="N28" s="220"/>
      <c r="O28" s="144"/>
    </row>
    <row r="29" spans="1:15" hidden="1">
      <c r="A29" s="216"/>
      <c r="B29" s="217">
        <v>20</v>
      </c>
      <c r="C29" s="218"/>
      <c r="D29" s="205"/>
      <c r="E29" s="205"/>
      <c r="F29" s="205"/>
      <c r="G29" s="205"/>
      <c r="H29" s="205"/>
      <c r="I29" s="205"/>
      <c r="J29" s="205"/>
      <c r="K29" s="205"/>
      <c r="L29" s="219"/>
      <c r="M29" s="219"/>
      <c r="N29" s="220"/>
      <c r="O29" s="144"/>
    </row>
    <row r="30" spans="1:15" hidden="1">
      <c r="A30" s="216"/>
      <c r="B30" s="217">
        <v>21</v>
      </c>
      <c r="C30" s="218"/>
      <c r="D30" s="205"/>
      <c r="E30" s="205"/>
      <c r="F30" s="205"/>
      <c r="G30" s="205"/>
      <c r="H30" s="205"/>
      <c r="I30" s="205"/>
      <c r="J30" s="205"/>
      <c r="K30" s="205"/>
      <c r="L30" s="219"/>
      <c r="M30" s="219"/>
      <c r="N30" s="220"/>
      <c r="O30" s="144"/>
    </row>
    <row r="31" spans="1:15" hidden="1">
      <c r="A31" s="216"/>
      <c r="B31" s="217">
        <v>22</v>
      </c>
      <c r="C31" s="218"/>
      <c r="D31" s="205"/>
      <c r="E31" s="205"/>
      <c r="F31" s="205"/>
      <c r="G31" s="205"/>
      <c r="H31" s="205"/>
      <c r="I31" s="205"/>
      <c r="J31" s="205"/>
      <c r="K31" s="205"/>
      <c r="L31" s="219"/>
      <c r="M31" s="219"/>
      <c r="N31" s="220"/>
      <c r="O31" s="144"/>
    </row>
    <row r="32" spans="1:15" hidden="1">
      <c r="A32" s="216"/>
      <c r="B32" s="217">
        <v>23</v>
      </c>
      <c r="C32" s="218"/>
      <c r="D32" s="205"/>
      <c r="E32" s="205"/>
      <c r="F32" s="205"/>
      <c r="G32" s="205"/>
      <c r="H32" s="205"/>
      <c r="I32" s="205"/>
      <c r="J32" s="205"/>
      <c r="K32" s="205"/>
      <c r="L32" s="219"/>
      <c r="M32" s="219"/>
      <c r="N32" s="220"/>
      <c r="O32" s="144"/>
    </row>
    <row r="33" spans="1:15" hidden="1">
      <c r="A33" s="216"/>
      <c r="B33" s="217">
        <v>24</v>
      </c>
      <c r="C33" s="218"/>
      <c r="D33" s="205"/>
      <c r="E33" s="205"/>
      <c r="F33" s="205"/>
      <c r="G33" s="205"/>
      <c r="H33" s="205"/>
      <c r="I33" s="205"/>
      <c r="J33" s="205"/>
      <c r="K33" s="205"/>
      <c r="L33" s="219"/>
      <c r="M33" s="219"/>
      <c r="N33" s="220"/>
      <c r="O33" s="144"/>
    </row>
    <row r="34" spans="1:15" hidden="1">
      <c r="A34" s="216"/>
      <c r="B34" s="217">
        <v>25</v>
      </c>
      <c r="C34" s="218"/>
      <c r="D34" s="205"/>
      <c r="E34" s="205"/>
      <c r="F34" s="205"/>
      <c r="G34" s="205"/>
      <c r="H34" s="205"/>
      <c r="I34" s="205"/>
      <c r="J34" s="205"/>
      <c r="K34" s="205"/>
      <c r="L34" s="219"/>
      <c r="M34" s="219"/>
      <c r="N34" s="220"/>
      <c r="O34" s="144"/>
    </row>
    <row r="35" spans="1:15" hidden="1">
      <c r="A35" s="216"/>
      <c r="B35" s="217">
        <v>26</v>
      </c>
      <c r="C35" s="218"/>
      <c r="D35" s="205"/>
      <c r="E35" s="205"/>
      <c r="F35" s="205"/>
      <c r="G35" s="205"/>
      <c r="H35" s="205"/>
      <c r="I35" s="205"/>
      <c r="J35" s="205"/>
      <c r="K35" s="205"/>
      <c r="L35" s="219"/>
      <c r="M35" s="219"/>
      <c r="N35" s="220"/>
      <c r="O35" s="144"/>
    </row>
    <row r="36" spans="1:15" hidden="1">
      <c r="A36" s="216"/>
      <c r="B36" s="217">
        <v>27</v>
      </c>
      <c r="C36" s="218"/>
      <c r="D36" s="205"/>
      <c r="E36" s="205"/>
      <c r="F36" s="205"/>
      <c r="G36" s="205"/>
      <c r="H36" s="205"/>
      <c r="I36" s="205"/>
      <c r="J36" s="205"/>
      <c r="K36" s="205"/>
      <c r="L36" s="219"/>
      <c r="M36" s="219"/>
      <c r="N36" s="220"/>
      <c r="O36" s="144"/>
    </row>
    <row r="37" spans="1:15" hidden="1">
      <c r="A37" s="216"/>
      <c r="B37" s="217">
        <v>28</v>
      </c>
      <c r="C37" s="218"/>
      <c r="D37" s="205"/>
      <c r="E37" s="205"/>
      <c r="F37" s="205"/>
      <c r="G37" s="205"/>
      <c r="H37" s="205"/>
      <c r="I37" s="205"/>
      <c r="J37" s="205"/>
      <c r="K37" s="205"/>
      <c r="L37" s="219"/>
      <c r="M37" s="219"/>
      <c r="N37" s="220"/>
      <c r="O37" s="144"/>
    </row>
    <row r="38" spans="1:15" hidden="1">
      <c r="A38" s="216"/>
      <c r="B38" s="217">
        <v>29</v>
      </c>
      <c r="C38" s="218"/>
      <c r="D38" s="205"/>
      <c r="E38" s="205"/>
      <c r="F38" s="205"/>
      <c r="G38" s="205"/>
      <c r="H38" s="205"/>
      <c r="I38" s="205"/>
      <c r="J38" s="205"/>
      <c r="K38" s="205"/>
      <c r="L38" s="219"/>
      <c r="M38" s="219"/>
      <c r="N38" s="220"/>
      <c r="O38" s="144"/>
    </row>
    <row r="39" spans="1:15" hidden="1">
      <c r="A39" s="216"/>
      <c r="B39" s="217">
        <v>30</v>
      </c>
      <c r="C39" s="218"/>
      <c r="D39" s="205"/>
      <c r="E39" s="205"/>
      <c r="F39" s="205"/>
      <c r="G39" s="205"/>
      <c r="H39" s="205"/>
      <c r="I39" s="205"/>
      <c r="J39" s="205"/>
      <c r="K39" s="205"/>
      <c r="L39" s="219"/>
      <c r="M39" s="219"/>
      <c r="N39" s="220"/>
      <c r="O39" s="144"/>
    </row>
    <row r="40" spans="1:15" hidden="1">
      <c r="A40" s="216"/>
      <c r="B40" s="217">
        <v>31</v>
      </c>
      <c r="C40" s="218"/>
      <c r="D40" s="205"/>
      <c r="E40" s="205"/>
      <c r="F40" s="205"/>
      <c r="G40" s="205"/>
      <c r="H40" s="205"/>
      <c r="I40" s="205"/>
      <c r="J40" s="205"/>
      <c r="K40" s="205"/>
      <c r="L40" s="219"/>
      <c r="M40" s="219"/>
      <c r="N40" s="220"/>
      <c r="O40" s="144"/>
    </row>
    <row r="41" spans="1:15" hidden="1">
      <c r="A41" s="216"/>
      <c r="B41" s="217">
        <v>32</v>
      </c>
      <c r="C41" s="218"/>
      <c r="D41" s="205"/>
      <c r="E41" s="205"/>
      <c r="F41" s="205"/>
      <c r="G41" s="205"/>
      <c r="H41" s="205"/>
      <c r="I41" s="205"/>
      <c r="J41" s="205"/>
      <c r="K41" s="205"/>
      <c r="L41" s="219"/>
      <c r="M41" s="219"/>
      <c r="N41" s="220"/>
      <c r="O41" s="144"/>
    </row>
    <row r="42" spans="1:15" hidden="1">
      <c r="A42" s="216"/>
      <c r="B42" s="217">
        <v>33</v>
      </c>
      <c r="C42" s="218"/>
      <c r="D42" s="205"/>
      <c r="E42" s="205"/>
      <c r="F42" s="205"/>
      <c r="G42" s="205"/>
      <c r="H42" s="205"/>
      <c r="I42" s="205"/>
      <c r="J42" s="205"/>
      <c r="K42" s="205"/>
      <c r="L42" s="219"/>
      <c r="M42" s="219"/>
      <c r="N42" s="220"/>
      <c r="O42" s="144"/>
    </row>
    <row r="43" spans="1:15" hidden="1">
      <c r="A43" s="216"/>
      <c r="B43" s="217">
        <v>34</v>
      </c>
      <c r="C43" s="218"/>
      <c r="D43" s="205"/>
      <c r="E43" s="205"/>
      <c r="F43" s="205"/>
      <c r="G43" s="205"/>
      <c r="H43" s="205"/>
      <c r="I43" s="205"/>
      <c r="J43" s="205"/>
      <c r="K43" s="205"/>
      <c r="L43" s="219"/>
      <c r="M43" s="219"/>
      <c r="N43" s="220"/>
      <c r="O43" s="144"/>
    </row>
    <row r="44" spans="1:15" hidden="1">
      <c r="A44" s="216"/>
      <c r="B44" s="217">
        <v>35</v>
      </c>
      <c r="C44" s="218"/>
      <c r="D44" s="205"/>
      <c r="E44" s="205"/>
      <c r="F44" s="205"/>
      <c r="G44" s="205"/>
      <c r="H44" s="205"/>
      <c r="I44" s="205"/>
      <c r="J44" s="205"/>
      <c r="K44" s="205"/>
      <c r="L44" s="219"/>
      <c r="M44" s="219"/>
      <c r="N44" s="220"/>
      <c r="O44" s="144"/>
    </row>
    <row r="45" spans="1:15" hidden="1">
      <c r="A45" s="216"/>
      <c r="B45" s="217">
        <v>36</v>
      </c>
      <c r="C45" s="218"/>
      <c r="D45" s="205"/>
      <c r="E45" s="205"/>
      <c r="F45" s="205"/>
      <c r="G45" s="205"/>
      <c r="H45" s="205"/>
      <c r="I45" s="205"/>
      <c r="J45" s="205"/>
      <c r="K45" s="205"/>
      <c r="L45" s="219"/>
      <c r="M45" s="219"/>
      <c r="N45" s="220"/>
      <c r="O45" s="144"/>
    </row>
    <row r="46" spans="1:15" hidden="1">
      <c r="A46" s="216"/>
      <c r="B46" s="217">
        <v>37</v>
      </c>
      <c r="C46" s="218"/>
      <c r="D46" s="205"/>
      <c r="E46" s="205"/>
      <c r="F46" s="205"/>
      <c r="G46" s="205"/>
      <c r="H46" s="205"/>
      <c r="I46" s="205"/>
      <c r="J46" s="205"/>
      <c r="K46" s="205"/>
      <c r="L46" s="219"/>
      <c r="M46" s="219"/>
      <c r="N46" s="220"/>
      <c r="O46" s="144"/>
    </row>
    <row r="47" spans="1:15" hidden="1">
      <c r="A47" s="216"/>
      <c r="B47" s="217">
        <v>38</v>
      </c>
      <c r="C47" s="218"/>
      <c r="D47" s="205"/>
      <c r="E47" s="205"/>
      <c r="F47" s="205"/>
      <c r="G47" s="205"/>
      <c r="H47" s="205"/>
      <c r="I47" s="205"/>
      <c r="J47" s="205"/>
      <c r="K47" s="205"/>
      <c r="L47" s="219"/>
      <c r="M47" s="219"/>
      <c r="N47" s="220"/>
      <c r="O47" s="144"/>
    </row>
    <row r="48" spans="1:15" hidden="1">
      <c r="A48" s="216"/>
      <c r="B48" s="217">
        <v>39</v>
      </c>
      <c r="C48" s="218"/>
      <c r="D48" s="205"/>
      <c r="E48" s="205"/>
      <c r="F48" s="205"/>
      <c r="G48" s="205"/>
      <c r="H48" s="205"/>
      <c r="I48" s="205"/>
      <c r="J48" s="205"/>
      <c r="K48" s="205"/>
      <c r="L48" s="219"/>
      <c r="M48" s="219"/>
      <c r="N48" s="220"/>
      <c r="O48" s="144"/>
    </row>
    <row r="49" spans="1:15" hidden="1">
      <c r="A49" s="216"/>
      <c r="B49" s="217">
        <v>40</v>
      </c>
      <c r="C49" s="218"/>
      <c r="D49" s="205"/>
      <c r="E49" s="205"/>
      <c r="F49" s="205"/>
      <c r="G49" s="205"/>
      <c r="H49" s="205"/>
      <c r="I49" s="205"/>
      <c r="J49" s="205"/>
      <c r="K49" s="205"/>
      <c r="L49" s="219"/>
      <c r="M49" s="219"/>
      <c r="N49" s="220"/>
      <c r="O49" s="144"/>
    </row>
    <row r="50" spans="1:15" hidden="1">
      <c r="A50" s="216"/>
      <c r="B50" s="217">
        <v>41</v>
      </c>
      <c r="C50" s="218"/>
      <c r="D50" s="205"/>
      <c r="E50" s="205"/>
      <c r="F50" s="205"/>
      <c r="G50" s="205"/>
      <c r="H50" s="205"/>
      <c r="I50" s="205"/>
      <c r="J50" s="205"/>
      <c r="K50" s="205"/>
      <c r="L50" s="219"/>
      <c r="M50" s="219"/>
      <c r="N50" s="220"/>
      <c r="O50" s="144"/>
    </row>
    <row r="51" spans="1:15" hidden="1">
      <c r="A51" s="216"/>
      <c r="B51" s="217">
        <v>42</v>
      </c>
      <c r="C51" s="218"/>
      <c r="D51" s="205"/>
      <c r="E51" s="205"/>
      <c r="F51" s="205"/>
      <c r="G51" s="205"/>
      <c r="H51" s="205"/>
      <c r="I51" s="205"/>
      <c r="J51" s="205"/>
      <c r="K51" s="205"/>
      <c r="L51" s="219"/>
      <c r="M51" s="219"/>
      <c r="N51" s="220"/>
      <c r="O51" s="144"/>
    </row>
    <row r="52" spans="1:15" hidden="1">
      <c r="A52" s="216"/>
      <c r="B52" s="217">
        <v>43</v>
      </c>
      <c r="C52" s="218"/>
      <c r="D52" s="205"/>
      <c r="E52" s="205"/>
      <c r="F52" s="205"/>
      <c r="G52" s="205"/>
      <c r="H52" s="205"/>
      <c r="I52" s="205"/>
      <c r="J52" s="205"/>
      <c r="K52" s="205"/>
      <c r="L52" s="219"/>
      <c r="M52" s="219"/>
      <c r="N52" s="220"/>
      <c r="O52" s="144"/>
    </row>
    <row r="53" spans="1:15" hidden="1">
      <c r="A53" s="216"/>
      <c r="B53" s="217">
        <v>44</v>
      </c>
      <c r="C53" s="218"/>
      <c r="D53" s="205"/>
      <c r="E53" s="205"/>
      <c r="F53" s="205"/>
      <c r="G53" s="205"/>
      <c r="H53" s="205"/>
      <c r="I53" s="205"/>
      <c r="J53" s="205"/>
      <c r="K53" s="205"/>
      <c r="L53" s="219"/>
      <c r="M53" s="219"/>
      <c r="N53" s="220"/>
      <c r="O53" s="144"/>
    </row>
    <row r="54" spans="1:15" hidden="1">
      <c r="A54" s="216"/>
      <c r="B54" s="217">
        <v>45</v>
      </c>
      <c r="C54" s="218"/>
      <c r="D54" s="205"/>
      <c r="E54" s="205"/>
      <c r="F54" s="205"/>
      <c r="G54" s="205"/>
      <c r="H54" s="205"/>
      <c r="I54" s="205"/>
      <c r="J54" s="205"/>
      <c r="K54" s="205"/>
      <c r="L54" s="219"/>
      <c r="M54" s="219"/>
      <c r="N54" s="220"/>
      <c r="O54" s="144"/>
    </row>
    <row r="55" spans="1:15" hidden="1">
      <c r="A55" s="216"/>
      <c r="B55" s="217">
        <v>46</v>
      </c>
      <c r="C55" s="218"/>
      <c r="D55" s="205"/>
      <c r="E55" s="205"/>
      <c r="F55" s="205"/>
      <c r="G55" s="205"/>
      <c r="H55" s="205"/>
      <c r="I55" s="205"/>
      <c r="J55" s="205"/>
      <c r="K55" s="205"/>
      <c r="L55" s="219"/>
      <c r="M55" s="219"/>
      <c r="N55" s="220"/>
      <c r="O55" s="144"/>
    </row>
    <row r="56" spans="1:15" hidden="1">
      <c r="A56" s="216"/>
      <c r="B56" s="217">
        <v>47</v>
      </c>
      <c r="C56" s="218"/>
      <c r="D56" s="205"/>
      <c r="E56" s="205"/>
      <c r="F56" s="205"/>
      <c r="G56" s="205"/>
      <c r="H56" s="205"/>
      <c r="I56" s="205"/>
      <c r="J56" s="205"/>
      <c r="K56" s="205"/>
      <c r="L56" s="219"/>
      <c r="M56" s="219"/>
      <c r="N56" s="220"/>
      <c r="O56" s="144"/>
    </row>
    <row r="57" spans="1:15" hidden="1">
      <c r="A57" s="216"/>
      <c r="B57" s="217">
        <v>48</v>
      </c>
      <c r="C57" s="218"/>
      <c r="D57" s="205"/>
      <c r="E57" s="205"/>
      <c r="F57" s="205"/>
      <c r="G57" s="205"/>
      <c r="H57" s="205"/>
      <c r="I57" s="205"/>
      <c r="J57" s="205"/>
      <c r="K57" s="205"/>
      <c r="L57" s="219"/>
      <c r="M57" s="219"/>
      <c r="N57" s="220"/>
      <c r="O57" s="144"/>
    </row>
    <row r="58" spans="1:15" hidden="1">
      <c r="A58" s="216"/>
      <c r="B58" s="217">
        <v>49</v>
      </c>
      <c r="C58" s="218"/>
      <c r="D58" s="205"/>
      <c r="E58" s="205"/>
      <c r="F58" s="205"/>
      <c r="G58" s="205"/>
      <c r="H58" s="205"/>
      <c r="I58" s="205"/>
      <c r="J58" s="205"/>
      <c r="K58" s="205"/>
      <c r="L58" s="219"/>
      <c r="M58" s="219"/>
      <c r="N58" s="220"/>
      <c r="O58" s="144"/>
    </row>
    <row r="59" spans="1:15" hidden="1">
      <c r="A59" s="216"/>
      <c r="B59" s="217">
        <v>50</v>
      </c>
      <c r="C59" s="218"/>
      <c r="D59" s="205"/>
      <c r="E59" s="205"/>
      <c r="F59" s="205"/>
      <c r="G59" s="205"/>
      <c r="H59" s="205"/>
      <c r="I59" s="205"/>
      <c r="J59" s="205"/>
      <c r="K59" s="205"/>
      <c r="L59" s="219"/>
      <c r="M59" s="219"/>
      <c r="N59" s="220"/>
      <c r="O59" s="144"/>
    </row>
    <row r="60" spans="1:15" ht="28.5" customHeight="1">
      <c r="B60" s="654" t="s">
        <v>319</v>
      </c>
      <c r="C60" s="655"/>
      <c r="D60" s="221">
        <f t="shared" ref="D60:J60" si="0">SUM(D10:D59)</f>
        <v>0</v>
      </c>
      <c r="E60" s="221">
        <f t="shared" si="0"/>
        <v>0</v>
      </c>
      <c r="F60" s="221">
        <f t="shared" si="0"/>
        <v>0</v>
      </c>
      <c r="G60" s="221">
        <f t="shared" si="0"/>
        <v>0</v>
      </c>
      <c r="H60" s="221">
        <f t="shared" si="0"/>
        <v>0</v>
      </c>
      <c r="I60" s="221">
        <f t="shared" si="0"/>
        <v>0</v>
      </c>
      <c r="J60" s="221">
        <f t="shared" si="0"/>
        <v>0</v>
      </c>
      <c r="K60" s="176"/>
      <c r="L60" s="176"/>
      <c r="M60" s="176"/>
      <c r="N60" s="176"/>
      <c r="O60" s="144"/>
    </row>
    <row r="61" spans="1:15" ht="30" customHeight="1">
      <c r="B61" s="654" t="s">
        <v>320</v>
      </c>
      <c r="C61" s="655"/>
      <c r="D61" s="205"/>
      <c r="E61" s="205"/>
      <c r="F61" s="205"/>
      <c r="G61" s="205"/>
      <c r="H61" s="205"/>
      <c r="I61" s="205"/>
      <c r="J61" s="205"/>
      <c r="K61" s="176"/>
      <c r="L61" s="219"/>
      <c r="M61" s="219"/>
      <c r="N61" s="176"/>
      <c r="O61" s="144"/>
    </row>
    <row r="62" spans="1:15">
      <c r="B62" s="654" t="s">
        <v>321</v>
      </c>
      <c r="C62" s="655"/>
      <c r="D62" s="176"/>
      <c r="E62" s="176"/>
      <c r="F62" s="205"/>
      <c r="G62" s="205"/>
      <c r="H62" s="205"/>
      <c r="I62" s="205"/>
      <c r="J62" s="205"/>
      <c r="K62" s="176"/>
      <c r="L62" s="219"/>
      <c r="M62" s="219"/>
      <c r="N62" s="176"/>
      <c r="O62" s="144"/>
    </row>
    <row r="63" spans="1:15" ht="30" customHeight="1">
      <c r="B63" s="654" t="s">
        <v>357</v>
      </c>
      <c r="C63" s="655"/>
      <c r="D63" s="221">
        <f>SUM(D60:D62)</f>
        <v>0</v>
      </c>
      <c r="E63" s="221">
        <f>SUM(E60:E62)</f>
        <v>0</v>
      </c>
      <c r="F63" s="221">
        <f t="shared" ref="F63:J63" si="1">SUM(F60:F62)</f>
        <v>0</v>
      </c>
      <c r="G63" s="221">
        <f t="shared" si="1"/>
        <v>0</v>
      </c>
      <c r="H63" s="221">
        <f t="shared" si="1"/>
        <v>0</v>
      </c>
      <c r="I63" s="221">
        <f t="shared" si="1"/>
        <v>0</v>
      </c>
      <c r="J63" s="221">
        <f t="shared" si="1"/>
        <v>0</v>
      </c>
      <c r="K63" s="176"/>
      <c r="L63" s="176"/>
      <c r="M63" s="176"/>
      <c r="N63" s="176"/>
      <c r="O63" s="144"/>
    </row>
    <row r="64" spans="1:15" ht="18.75" customHeight="1">
      <c r="B64" s="778" t="s">
        <v>994</v>
      </c>
      <c r="C64" s="778"/>
      <c r="D64" s="778"/>
      <c r="E64" s="778"/>
      <c r="F64" s="778"/>
      <c r="G64" s="778"/>
      <c r="H64" s="778"/>
      <c r="I64" s="778"/>
      <c r="J64" s="778"/>
      <c r="K64" s="778"/>
      <c r="L64" s="132"/>
      <c r="M64" s="132"/>
      <c r="N64" s="132"/>
    </row>
    <row r="65" spans="1:14" ht="18.75" customHeight="1"/>
    <row r="66" spans="1:14" ht="23.25" customHeight="1">
      <c r="B66" s="32" t="s">
        <v>1019</v>
      </c>
      <c r="C66" s="32"/>
      <c r="D66" s="32"/>
      <c r="E66" s="32"/>
      <c r="F66" s="32"/>
      <c r="G66" s="32"/>
      <c r="H66" s="32"/>
      <c r="I66" s="32"/>
      <c r="J66" s="32"/>
      <c r="K66" s="32"/>
      <c r="L66" s="32"/>
      <c r="M66" s="32"/>
      <c r="N66" s="32"/>
    </row>
    <row r="67" spans="1:14" ht="17.25">
      <c r="B67" s="842" t="s">
        <v>325</v>
      </c>
      <c r="C67" s="842"/>
      <c r="D67" s="842"/>
      <c r="E67" s="842"/>
      <c r="F67" s="842"/>
      <c r="G67" s="842"/>
      <c r="H67" s="842"/>
      <c r="I67" s="842"/>
      <c r="J67" s="842"/>
      <c r="K67" s="842"/>
      <c r="M67" s="32"/>
    </row>
    <row r="69" spans="1:14" s="15" customFormat="1" ht="15" hidden="1" customHeight="1">
      <c r="A69" s="6" t="s">
        <v>693</v>
      </c>
      <c r="C69" s="798" t="s">
        <v>323</v>
      </c>
      <c r="D69" s="799"/>
      <c r="E69" s="800" t="str">
        <f>IF(C10="","",C10)</f>
        <v/>
      </c>
      <c r="F69" s="801"/>
      <c r="G69" s="801"/>
      <c r="H69" s="801"/>
      <c r="I69" s="801"/>
      <c r="J69" s="654" t="s">
        <v>322</v>
      </c>
      <c r="K69" s="655"/>
      <c r="L69" s="802">
        <f>D10</f>
        <v>0</v>
      </c>
      <c r="M69" s="803"/>
      <c r="N69" s="222"/>
    </row>
    <row r="70" spans="1:14" ht="45" hidden="1" customHeight="1">
      <c r="C70" s="654" t="s">
        <v>995</v>
      </c>
      <c r="D70" s="655"/>
      <c r="E70" s="808"/>
      <c r="F70" s="809"/>
      <c r="G70" s="809"/>
      <c r="H70" s="809"/>
      <c r="I70" s="809"/>
      <c r="J70" s="809"/>
      <c r="K70" s="809"/>
      <c r="L70" s="809"/>
      <c r="M70" s="809"/>
      <c r="N70" s="144"/>
    </row>
    <row r="71" spans="1:14" ht="60" hidden="1"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11"/>
      <c r="E71" s="398" t="s">
        <v>240</v>
      </c>
      <c r="F71" s="632"/>
      <c r="G71" s="633"/>
      <c r="H71" s="633"/>
      <c r="I71" s="633"/>
      <c r="J71" s="633"/>
      <c r="K71" s="633"/>
      <c r="L71" s="633"/>
      <c r="M71" s="724"/>
      <c r="N71" s="144"/>
    </row>
    <row r="72" spans="1:14" ht="15" hidden="1"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hidden="1" customHeight="1">
      <c r="C73" s="826"/>
      <c r="D73" s="827"/>
      <c r="E73" s="411"/>
      <c r="F73" s="411"/>
      <c r="G73" s="411"/>
      <c r="H73" s="411"/>
      <c r="I73" s="411"/>
      <c r="J73" s="411"/>
      <c r="K73" s="411"/>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45" hidden="1"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20"/>
      <c r="F81" s="809"/>
      <c r="G81" s="809"/>
      <c r="H81" s="809"/>
      <c r="I81" s="809"/>
      <c r="J81" s="809"/>
      <c r="K81" s="809"/>
      <c r="L81" s="809"/>
      <c r="M81" s="809"/>
      <c r="N81" s="144"/>
    </row>
    <row r="82" spans="1:14" hidden="1">
      <c r="C82" s="654" t="s">
        <v>996</v>
      </c>
      <c r="D82" s="655"/>
      <c r="E82" s="189" t="s">
        <v>240</v>
      </c>
      <c r="F82" s="806"/>
      <c r="G82" s="807"/>
      <c r="H82" s="807"/>
      <c r="I82" s="807"/>
      <c r="J82" s="807"/>
      <c r="K82" s="807"/>
      <c r="L82" s="807"/>
      <c r="M82" s="807"/>
      <c r="N82" s="144"/>
    </row>
    <row r="83" spans="1:14" hidden="1">
      <c r="C83" s="654" t="s">
        <v>326</v>
      </c>
      <c r="D83" s="655"/>
      <c r="E83" s="189" t="s">
        <v>240</v>
      </c>
      <c r="F83" s="806"/>
      <c r="G83" s="807"/>
      <c r="H83" s="807"/>
      <c r="I83" s="807"/>
      <c r="J83" s="807"/>
      <c r="K83" s="807"/>
      <c r="L83" s="807"/>
      <c r="M83" s="807"/>
      <c r="N83" s="144"/>
    </row>
    <row r="84" spans="1:14" hidden="1">
      <c r="C84" s="804" t="s">
        <v>997</v>
      </c>
      <c r="D84" s="805"/>
      <c r="E84" s="189" t="s">
        <v>240</v>
      </c>
      <c r="F84" s="806"/>
      <c r="G84" s="807"/>
      <c r="H84" s="807"/>
      <c r="I84" s="807"/>
      <c r="J84" s="807"/>
      <c r="K84" s="807"/>
      <c r="L84" s="807"/>
      <c r="M84" s="807"/>
      <c r="N84" s="144"/>
    </row>
    <row r="85" spans="1:14" ht="30" hidden="1" customHeight="1">
      <c r="C85" s="804" t="s">
        <v>327</v>
      </c>
      <c r="D85" s="805"/>
      <c r="E85" s="189" t="s">
        <v>240</v>
      </c>
      <c r="F85" s="806"/>
      <c r="G85" s="807"/>
      <c r="H85" s="807"/>
      <c r="I85" s="807"/>
      <c r="J85" s="807"/>
      <c r="K85" s="807"/>
      <c r="L85" s="807"/>
      <c r="M85" s="807"/>
      <c r="N85" s="181"/>
    </row>
    <row r="86" spans="1:14" ht="9" hidden="1" customHeight="1">
      <c r="C86" s="132"/>
      <c r="D86" s="132"/>
      <c r="E86" s="132"/>
      <c r="F86" s="132"/>
      <c r="G86" s="132"/>
      <c r="H86" s="132"/>
      <c r="I86" s="132"/>
      <c r="J86" s="132"/>
      <c r="K86" s="132"/>
      <c r="L86" s="132"/>
      <c r="M86" s="132"/>
    </row>
    <row r="87" spans="1:14" hidden="1">
      <c r="B87"/>
      <c r="C87"/>
      <c r="D87"/>
      <c r="E87"/>
      <c r="F87"/>
      <c r="G87"/>
      <c r="H87"/>
      <c r="I87"/>
      <c r="J87"/>
      <c r="K87"/>
      <c r="L87"/>
      <c r="M87"/>
    </row>
    <row r="88" spans="1:14" s="15" customFormat="1" ht="15" hidden="1" customHeight="1">
      <c r="A88" s="6" t="s">
        <v>693</v>
      </c>
      <c r="C88" s="798" t="s">
        <v>644</v>
      </c>
      <c r="D88" s="799"/>
      <c r="E88" s="800" t="str">
        <f>IF(C11="","",C11)</f>
        <v/>
      </c>
      <c r="F88" s="801"/>
      <c r="G88" s="801"/>
      <c r="H88" s="801"/>
      <c r="I88" s="801"/>
      <c r="J88" s="654" t="s">
        <v>322</v>
      </c>
      <c r="K88" s="655"/>
      <c r="L88" s="802">
        <f>D11</f>
        <v>0</v>
      </c>
      <c r="M88" s="803"/>
      <c r="N88" s="222"/>
    </row>
    <row r="89" spans="1:14" ht="45" hidden="1" customHeight="1">
      <c r="C89" s="654" t="s">
        <v>995</v>
      </c>
      <c r="D89" s="655"/>
      <c r="E89" s="808"/>
      <c r="F89" s="809"/>
      <c r="G89" s="809"/>
      <c r="H89" s="809"/>
      <c r="I89" s="809"/>
      <c r="J89" s="809"/>
      <c r="K89" s="809"/>
      <c r="L89" s="809"/>
      <c r="M89" s="809"/>
      <c r="N89" s="144"/>
    </row>
    <row r="90" spans="1:14" ht="60" hidden="1"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1"/>
      <c r="E90" s="398" t="s">
        <v>240</v>
      </c>
      <c r="F90" s="632"/>
      <c r="G90" s="633"/>
      <c r="H90" s="633"/>
      <c r="I90" s="633"/>
      <c r="J90" s="633"/>
      <c r="K90" s="633"/>
      <c r="L90" s="633"/>
      <c r="M90" s="724"/>
      <c r="N90" s="144"/>
    </row>
    <row r="91" spans="1:14" ht="15" hidden="1"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hidden="1" customHeight="1">
      <c r="C92" s="826"/>
      <c r="D92" s="827"/>
      <c r="E92" s="411"/>
      <c r="F92" s="411"/>
      <c r="G92" s="411"/>
      <c r="H92" s="411"/>
      <c r="I92" s="411"/>
      <c r="J92" s="411"/>
      <c r="K92" s="411"/>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45" hidden="1"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20"/>
      <c r="F100" s="809"/>
      <c r="G100" s="809"/>
      <c r="H100" s="809"/>
      <c r="I100" s="809"/>
      <c r="J100" s="809"/>
      <c r="K100" s="809"/>
      <c r="L100" s="809"/>
      <c r="M100" s="809"/>
      <c r="N100" s="144"/>
    </row>
    <row r="101" spans="1:14" hidden="1">
      <c r="C101" s="654" t="s">
        <v>996</v>
      </c>
      <c r="D101" s="655"/>
      <c r="E101" s="189" t="s">
        <v>240</v>
      </c>
      <c r="F101" s="806"/>
      <c r="G101" s="807"/>
      <c r="H101" s="807"/>
      <c r="I101" s="807"/>
      <c r="J101" s="807"/>
      <c r="K101" s="807"/>
      <c r="L101" s="807"/>
      <c r="M101" s="807"/>
      <c r="N101" s="144"/>
    </row>
    <row r="102" spans="1:14" hidden="1">
      <c r="C102" s="654" t="s">
        <v>326</v>
      </c>
      <c r="D102" s="655"/>
      <c r="E102" s="189" t="s">
        <v>240</v>
      </c>
      <c r="F102" s="806"/>
      <c r="G102" s="807"/>
      <c r="H102" s="807"/>
      <c r="I102" s="807"/>
      <c r="J102" s="807"/>
      <c r="K102" s="807"/>
      <c r="L102" s="807"/>
      <c r="M102" s="807"/>
      <c r="N102" s="144"/>
    </row>
    <row r="103" spans="1:14" ht="15" hidden="1" customHeight="1">
      <c r="C103" s="804" t="s">
        <v>997</v>
      </c>
      <c r="D103" s="805"/>
      <c r="E103" s="189" t="s">
        <v>240</v>
      </c>
      <c r="F103" s="806"/>
      <c r="G103" s="807"/>
      <c r="H103" s="807"/>
      <c r="I103" s="807"/>
      <c r="J103" s="807"/>
      <c r="K103" s="807"/>
      <c r="L103" s="807"/>
      <c r="M103" s="807"/>
      <c r="N103" s="144"/>
    </row>
    <row r="104" spans="1:14" ht="30" hidden="1" customHeight="1">
      <c r="C104" s="804" t="s">
        <v>327</v>
      </c>
      <c r="D104" s="805"/>
      <c r="E104" s="189" t="s">
        <v>240</v>
      </c>
      <c r="F104" s="806"/>
      <c r="G104" s="807"/>
      <c r="H104" s="807"/>
      <c r="I104" s="807"/>
      <c r="J104" s="807"/>
      <c r="K104" s="807"/>
      <c r="L104" s="807"/>
      <c r="M104" s="807"/>
      <c r="N104" s="181"/>
    </row>
    <row r="105" spans="1:14" ht="9" hidden="1" customHeight="1">
      <c r="C105" s="132"/>
      <c r="D105" s="132"/>
      <c r="E105" s="132"/>
      <c r="F105" s="132"/>
      <c r="G105" s="132"/>
      <c r="H105" s="132"/>
      <c r="I105" s="132"/>
      <c r="J105" s="132"/>
      <c r="K105" s="132"/>
      <c r="L105" s="132"/>
      <c r="M105" s="132"/>
    </row>
    <row r="106" spans="1:14" hidden="1">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8" spans="2:15" hidden="1"/>
    <row r="1019" spans="2:15" ht="17.25">
      <c r="B1019" s="32" t="s">
        <v>1020</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1672</v>
      </c>
      <c r="C1021" s="32"/>
      <c r="D1021" s="32"/>
      <c r="E1021" s="32"/>
      <c r="F1021" s="32"/>
      <c r="G1021" s="32"/>
      <c r="H1021" s="32"/>
      <c r="I1021" s="32"/>
      <c r="J1021" s="32"/>
      <c r="K1021" s="32"/>
      <c r="L1021" s="32"/>
      <c r="M1021" s="32"/>
      <c r="N1021" s="32"/>
    </row>
    <row r="1022" spans="2:15" ht="15" customHeight="1"/>
    <row r="1023" spans="2:15" ht="99.75" customHeight="1">
      <c r="B1023" s="758"/>
      <c r="C1023" s="759"/>
      <c r="D1023" s="759"/>
      <c r="E1023" s="759"/>
      <c r="F1023" s="759"/>
      <c r="G1023" s="759"/>
      <c r="H1023" s="759"/>
      <c r="I1023" s="759"/>
      <c r="J1023" s="759"/>
      <c r="K1023" s="759"/>
      <c r="L1023" s="759"/>
      <c r="M1023" s="759"/>
      <c r="N1023" s="768"/>
      <c r="O1023" s="144"/>
    </row>
    <row r="1024" spans="2:15" ht="17.25">
      <c r="B1024" s="32"/>
      <c r="C1024" s="32"/>
      <c r="D1024" s="32"/>
      <c r="E1024" s="32"/>
      <c r="F1024" s="32"/>
      <c r="G1024" s="32"/>
      <c r="H1024" s="32"/>
      <c r="I1024" s="32"/>
      <c r="J1024" s="32"/>
      <c r="K1024" s="32"/>
      <c r="L1024" s="32"/>
      <c r="M1024" s="32"/>
      <c r="N1024" s="32"/>
    </row>
    <row r="1025" spans="2:14" ht="17.25">
      <c r="B1025" s="50" t="s">
        <v>1673</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857" t="s">
        <v>1667</v>
      </c>
      <c r="E1027" s="857"/>
      <c r="F1027" s="857"/>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313">
        <v>2020</v>
      </c>
      <c r="G1030" s="313">
        <v>2021</v>
      </c>
      <c r="H1030" s="313">
        <v>2022</v>
      </c>
      <c r="I1030" s="313">
        <v>2023</v>
      </c>
      <c r="J1030" s="313">
        <v>2024</v>
      </c>
      <c r="K1030" s="795"/>
      <c r="L1030" s="796"/>
      <c r="M1030" s="796"/>
      <c r="N1030" s="797"/>
    </row>
    <row r="1031" spans="2:14" hidden="1">
      <c r="B1031" s="403">
        <v>1</v>
      </c>
      <c r="C1031" s="401"/>
      <c r="D1031" s="205"/>
      <c r="E1031" s="205"/>
      <c r="F1031" s="402"/>
      <c r="G1031" s="402"/>
      <c r="H1031" s="402"/>
      <c r="I1031" s="402"/>
      <c r="J1031" s="402"/>
      <c r="K1031" s="790"/>
      <c r="L1031" s="791"/>
      <c r="M1031" s="791"/>
      <c r="N1031" s="792"/>
    </row>
    <row r="1032" spans="2:14" hidden="1">
      <c r="B1032" s="403">
        <v>2</v>
      </c>
      <c r="C1032" s="401"/>
      <c r="D1032" s="205"/>
      <c r="E1032" s="205"/>
      <c r="F1032" s="402"/>
      <c r="G1032" s="402"/>
      <c r="H1032" s="402"/>
      <c r="I1032" s="402"/>
      <c r="J1032" s="402"/>
      <c r="K1032" s="790"/>
      <c r="L1032" s="791"/>
      <c r="M1032" s="791"/>
      <c r="N1032" s="792"/>
    </row>
    <row r="1033" spans="2:14" hidden="1">
      <c r="B1033" s="403">
        <v>3</v>
      </c>
      <c r="C1033" s="401"/>
      <c r="D1033" s="205"/>
      <c r="E1033" s="205"/>
      <c r="F1033" s="402"/>
      <c r="G1033" s="402"/>
      <c r="H1033" s="402"/>
      <c r="I1033" s="402"/>
      <c r="J1033" s="402"/>
      <c r="K1033" s="790"/>
      <c r="L1033" s="791"/>
      <c r="M1033" s="791"/>
      <c r="N1033" s="792"/>
    </row>
    <row r="1034" spans="2:14" hidden="1">
      <c r="B1034" s="403">
        <v>4</v>
      </c>
      <c r="C1034" s="401"/>
      <c r="D1034" s="205"/>
      <c r="E1034" s="205"/>
      <c r="F1034" s="402"/>
      <c r="G1034" s="402"/>
      <c r="H1034" s="402"/>
      <c r="I1034" s="402"/>
      <c r="J1034" s="402"/>
      <c r="K1034" s="790"/>
      <c r="L1034" s="791"/>
      <c r="M1034" s="791"/>
      <c r="N1034" s="792"/>
    </row>
    <row r="1035" spans="2:14" hidden="1">
      <c r="B1035" s="403">
        <v>5</v>
      </c>
      <c r="C1035" s="401"/>
      <c r="D1035" s="205"/>
      <c r="E1035" s="205"/>
      <c r="F1035" s="402"/>
      <c r="G1035" s="402"/>
      <c r="H1035" s="402"/>
      <c r="I1035" s="402"/>
      <c r="J1035" s="402"/>
      <c r="K1035" s="790"/>
      <c r="L1035" s="791"/>
      <c r="M1035" s="791"/>
      <c r="N1035" s="792"/>
    </row>
    <row r="1036" spans="2:14" hidden="1">
      <c r="B1036" s="403">
        <v>6</v>
      </c>
      <c r="C1036" s="401"/>
      <c r="D1036" s="205"/>
      <c r="E1036" s="205"/>
      <c r="F1036" s="402"/>
      <c r="G1036" s="402"/>
      <c r="H1036" s="402"/>
      <c r="I1036" s="402"/>
      <c r="J1036" s="402"/>
      <c r="K1036" s="790"/>
      <c r="L1036" s="791"/>
      <c r="M1036" s="791"/>
      <c r="N1036" s="792"/>
    </row>
    <row r="1037" spans="2:14" hidden="1">
      <c r="B1037" s="403">
        <v>7</v>
      </c>
      <c r="C1037" s="401"/>
      <c r="D1037" s="205"/>
      <c r="E1037" s="205"/>
      <c r="F1037" s="402"/>
      <c r="G1037" s="402"/>
      <c r="H1037" s="402"/>
      <c r="I1037" s="402"/>
      <c r="J1037" s="402"/>
      <c r="K1037" s="790"/>
      <c r="L1037" s="791"/>
      <c r="M1037" s="791"/>
      <c r="N1037" s="792"/>
    </row>
    <row r="1038" spans="2:14" hidden="1">
      <c r="B1038" s="403">
        <v>8</v>
      </c>
      <c r="C1038" s="401"/>
      <c r="D1038" s="205"/>
      <c r="E1038" s="205"/>
      <c r="F1038" s="402"/>
      <c r="G1038" s="402"/>
      <c r="H1038" s="402"/>
      <c r="I1038" s="402"/>
      <c r="J1038" s="402"/>
      <c r="K1038" s="790"/>
      <c r="L1038" s="791"/>
      <c r="M1038" s="791"/>
      <c r="N1038" s="792"/>
    </row>
    <row r="1039" spans="2:14" hidden="1">
      <c r="B1039" s="403">
        <v>9</v>
      </c>
      <c r="C1039" s="401"/>
      <c r="D1039" s="205"/>
      <c r="E1039" s="205"/>
      <c r="F1039" s="402"/>
      <c r="G1039" s="402"/>
      <c r="H1039" s="402"/>
      <c r="I1039" s="402"/>
      <c r="J1039" s="402"/>
      <c r="K1039" s="790"/>
      <c r="L1039" s="791"/>
      <c r="M1039" s="791"/>
      <c r="N1039" s="792"/>
    </row>
    <row r="1040" spans="2:14" hidden="1">
      <c r="B1040" s="403">
        <v>10</v>
      </c>
      <c r="C1040" s="401"/>
      <c r="D1040" s="205"/>
      <c r="E1040" s="205"/>
      <c r="F1040" s="402"/>
      <c r="G1040" s="402"/>
      <c r="H1040" s="402"/>
      <c r="I1040" s="402"/>
      <c r="J1040" s="402"/>
      <c r="K1040" s="790"/>
      <c r="L1040" s="791"/>
      <c r="M1040" s="791"/>
      <c r="N1040" s="792"/>
    </row>
    <row r="1041" spans="2:14" hidden="1">
      <c r="B1041" s="403">
        <v>11</v>
      </c>
      <c r="C1041" s="401"/>
      <c r="D1041" s="205"/>
      <c r="E1041" s="205"/>
      <c r="F1041" s="402"/>
      <c r="G1041" s="402"/>
      <c r="H1041" s="402"/>
      <c r="I1041" s="402"/>
      <c r="J1041" s="402"/>
      <c r="K1041" s="790"/>
      <c r="L1041" s="791"/>
      <c r="M1041" s="791"/>
      <c r="N1041" s="792"/>
    </row>
    <row r="1042" spans="2:14" hidden="1">
      <c r="B1042" s="403">
        <v>12</v>
      </c>
      <c r="C1042" s="401"/>
      <c r="D1042" s="205"/>
      <c r="E1042" s="205"/>
      <c r="F1042" s="402"/>
      <c r="G1042" s="402"/>
      <c r="H1042" s="402"/>
      <c r="I1042" s="402"/>
      <c r="J1042" s="402"/>
      <c r="K1042" s="790"/>
      <c r="L1042" s="791"/>
      <c r="M1042" s="791"/>
      <c r="N1042" s="792"/>
    </row>
    <row r="1043" spans="2:14" hidden="1">
      <c r="B1043" s="403">
        <v>13</v>
      </c>
      <c r="C1043" s="401"/>
      <c r="D1043" s="205"/>
      <c r="E1043" s="205"/>
      <c r="F1043" s="402"/>
      <c r="G1043" s="402"/>
      <c r="H1043" s="402"/>
      <c r="I1043" s="402"/>
      <c r="J1043" s="402"/>
      <c r="K1043" s="790"/>
      <c r="L1043" s="791"/>
      <c r="M1043" s="791"/>
      <c r="N1043" s="792"/>
    </row>
    <row r="1044" spans="2:14" hidden="1">
      <c r="B1044" s="403">
        <v>14</v>
      </c>
      <c r="C1044" s="401"/>
      <c r="D1044" s="205"/>
      <c r="E1044" s="205"/>
      <c r="F1044" s="402"/>
      <c r="G1044" s="402"/>
      <c r="H1044" s="402"/>
      <c r="I1044" s="402"/>
      <c r="J1044" s="402"/>
      <c r="K1044" s="790"/>
      <c r="L1044" s="791"/>
      <c r="M1044" s="791"/>
      <c r="N1044" s="792"/>
    </row>
    <row r="1045" spans="2:14" hidden="1">
      <c r="B1045" s="403">
        <v>15</v>
      </c>
      <c r="C1045" s="401"/>
      <c r="D1045" s="205"/>
      <c r="E1045" s="205"/>
      <c r="F1045" s="402"/>
      <c r="G1045" s="402"/>
      <c r="H1045" s="402"/>
      <c r="I1045" s="402"/>
      <c r="J1045" s="402"/>
      <c r="K1045" s="790"/>
      <c r="L1045" s="791"/>
      <c r="M1045" s="791"/>
      <c r="N1045" s="792"/>
    </row>
    <row r="1046" spans="2:14" hidden="1">
      <c r="B1046" s="403">
        <v>16</v>
      </c>
      <c r="C1046" s="401"/>
      <c r="D1046" s="205"/>
      <c r="E1046" s="205"/>
      <c r="F1046" s="402"/>
      <c r="G1046" s="402"/>
      <c r="H1046" s="402"/>
      <c r="I1046" s="402"/>
      <c r="J1046" s="402"/>
      <c r="K1046" s="790"/>
      <c r="L1046" s="791"/>
      <c r="M1046" s="791"/>
      <c r="N1046" s="792"/>
    </row>
    <row r="1047" spans="2:14" hidden="1">
      <c r="B1047" s="403">
        <v>17</v>
      </c>
      <c r="C1047" s="401"/>
      <c r="D1047" s="205"/>
      <c r="E1047" s="205"/>
      <c r="F1047" s="402"/>
      <c r="G1047" s="402"/>
      <c r="H1047" s="402"/>
      <c r="I1047" s="402"/>
      <c r="J1047" s="402"/>
      <c r="K1047" s="790"/>
      <c r="L1047" s="791"/>
      <c r="M1047" s="791"/>
      <c r="N1047" s="792"/>
    </row>
    <row r="1048" spans="2:14" hidden="1">
      <c r="B1048" s="403">
        <v>18</v>
      </c>
      <c r="C1048" s="401"/>
      <c r="D1048" s="205"/>
      <c r="E1048" s="205"/>
      <c r="F1048" s="402"/>
      <c r="G1048" s="402"/>
      <c r="H1048" s="402"/>
      <c r="I1048" s="402"/>
      <c r="J1048" s="402"/>
      <c r="K1048" s="790"/>
      <c r="L1048" s="791"/>
      <c r="M1048" s="791"/>
      <c r="N1048" s="792"/>
    </row>
    <row r="1049" spans="2:14" hidden="1">
      <c r="B1049" s="403">
        <v>19</v>
      </c>
      <c r="C1049" s="401"/>
      <c r="D1049" s="205"/>
      <c r="E1049" s="205"/>
      <c r="F1049" s="402"/>
      <c r="G1049" s="402"/>
      <c r="H1049" s="402"/>
      <c r="I1049" s="402"/>
      <c r="J1049" s="402"/>
      <c r="K1049" s="790"/>
      <c r="L1049" s="791"/>
      <c r="M1049" s="791"/>
      <c r="N1049" s="792"/>
    </row>
    <row r="1050" spans="2:14" hidden="1">
      <c r="B1050" s="403">
        <v>20</v>
      </c>
      <c r="C1050" s="401"/>
      <c r="D1050" s="404"/>
      <c r="E1050" s="402"/>
      <c r="F1050" s="402"/>
      <c r="G1050" s="402"/>
      <c r="H1050" s="402"/>
      <c r="I1050" s="402"/>
      <c r="J1050" s="402"/>
      <c r="K1050" s="790"/>
      <c r="L1050" s="791"/>
      <c r="M1050" s="791"/>
      <c r="N1050" s="792"/>
    </row>
    <row r="1051" spans="2:14" ht="15" customHeight="1">
      <c r="B1051" s="132"/>
      <c r="C1051" s="132"/>
      <c r="D1051" s="132"/>
      <c r="E1051" s="132"/>
      <c r="F1051" s="132"/>
      <c r="G1051" s="132"/>
      <c r="H1051" s="132"/>
      <c r="I1051" s="132"/>
      <c r="J1051" s="132"/>
      <c r="K1051" s="132"/>
      <c r="L1051" s="132"/>
      <c r="M1051" s="132"/>
      <c r="N1051" s="132"/>
    </row>
    <row r="1052" spans="2:14" ht="15" customHeight="1">
      <c r="F1052" s="455"/>
      <c r="G1052" s="455"/>
      <c r="H1052" s="455"/>
      <c r="I1052" s="455"/>
      <c r="J1052" s="455"/>
      <c r="K1052" s="455"/>
      <c r="L1052" s="455"/>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201" priority="54">
      <formula>$A$2="PRINT"</formula>
    </cfRule>
  </conditionalFormatting>
  <conditionalFormatting sqref="E71">
    <cfRule type="expression" dxfId="1200" priority="53">
      <formula>$A$2="PRINT"</formula>
    </cfRule>
  </conditionalFormatting>
  <conditionalFormatting sqref="E90">
    <cfRule type="expression" dxfId="1199" priority="52">
      <formula>$A$2="PRINT"</formula>
    </cfRule>
  </conditionalFormatting>
  <conditionalFormatting sqref="E109">
    <cfRule type="expression" dxfId="1198" priority="51">
      <formula>$A$2="PRINT"</formula>
    </cfRule>
  </conditionalFormatting>
  <conditionalFormatting sqref="E128">
    <cfRule type="expression" dxfId="1197" priority="50">
      <formula>$A$2="PRINT"</formula>
    </cfRule>
  </conditionalFormatting>
  <conditionalFormatting sqref="E147">
    <cfRule type="expression" dxfId="1196" priority="49">
      <formula>$A$2="PRINT"</formula>
    </cfRule>
  </conditionalFormatting>
  <conditionalFormatting sqref="E166">
    <cfRule type="expression" dxfId="1195" priority="48">
      <formula>$A$2="PRINT"</formula>
    </cfRule>
  </conditionalFormatting>
  <conditionalFormatting sqref="E185">
    <cfRule type="expression" dxfId="1194" priority="47">
      <formula>$A$2="PRINT"</formula>
    </cfRule>
  </conditionalFormatting>
  <conditionalFormatting sqref="E204">
    <cfRule type="expression" dxfId="1193" priority="46">
      <formula>$A$2="PRINT"</formula>
    </cfRule>
  </conditionalFormatting>
  <conditionalFormatting sqref="E223">
    <cfRule type="expression" dxfId="1192" priority="45">
      <formula>$A$2="PRINT"</formula>
    </cfRule>
  </conditionalFormatting>
  <conditionalFormatting sqref="E242">
    <cfRule type="expression" dxfId="1191" priority="44">
      <formula>$A$2="PRINT"</formula>
    </cfRule>
  </conditionalFormatting>
  <conditionalFormatting sqref="E261">
    <cfRule type="expression" dxfId="1190" priority="43">
      <formula>$A$2="PRINT"</formula>
    </cfRule>
  </conditionalFormatting>
  <conditionalFormatting sqref="E280">
    <cfRule type="expression" dxfId="1189" priority="42">
      <formula>$A$2="PRINT"</formula>
    </cfRule>
  </conditionalFormatting>
  <conditionalFormatting sqref="E299">
    <cfRule type="expression" dxfId="1188" priority="41">
      <formula>$A$2="PRINT"</formula>
    </cfRule>
  </conditionalFormatting>
  <conditionalFormatting sqref="E318">
    <cfRule type="expression" dxfId="1187" priority="40">
      <formula>$A$2="PRINT"</formula>
    </cfRule>
  </conditionalFormatting>
  <conditionalFormatting sqref="E337">
    <cfRule type="expression" dxfId="1186" priority="39">
      <formula>$A$2="PRINT"</formula>
    </cfRule>
  </conditionalFormatting>
  <conditionalFormatting sqref="E356">
    <cfRule type="expression" dxfId="1185" priority="38">
      <formula>$A$2="PRINT"</formula>
    </cfRule>
  </conditionalFormatting>
  <conditionalFormatting sqref="E375">
    <cfRule type="expression" dxfId="1184" priority="37">
      <formula>$A$2="PRINT"</formula>
    </cfRule>
  </conditionalFormatting>
  <conditionalFormatting sqref="E394">
    <cfRule type="expression" dxfId="1183" priority="36">
      <formula>$A$2="PRINT"</formula>
    </cfRule>
  </conditionalFormatting>
  <conditionalFormatting sqref="E413">
    <cfRule type="expression" dxfId="1182" priority="35">
      <formula>$A$2="PRINT"</formula>
    </cfRule>
  </conditionalFormatting>
  <conditionalFormatting sqref="E432">
    <cfRule type="expression" dxfId="1181" priority="34">
      <formula>$A$2="PRINT"</formula>
    </cfRule>
  </conditionalFormatting>
  <conditionalFormatting sqref="E451">
    <cfRule type="expression" dxfId="1180" priority="33">
      <formula>$A$2="PRINT"</formula>
    </cfRule>
  </conditionalFormatting>
  <conditionalFormatting sqref="E470">
    <cfRule type="expression" dxfId="1179" priority="32">
      <formula>$A$2="PRINT"</formula>
    </cfRule>
  </conditionalFormatting>
  <conditionalFormatting sqref="E489">
    <cfRule type="expression" dxfId="1178" priority="31">
      <formula>$A$2="PRINT"</formula>
    </cfRule>
  </conditionalFormatting>
  <conditionalFormatting sqref="E508">
    <cfRule type="expression" dxfId="1177" priority="30">
      <formula>$A$2="PRINT"</formula>
    </cfRule>
  </conditionalFormatting>
  <conditionalFormatting sqref="E527">
    <cfRule type="expression" dxfId="1176" priority="29">
      <formula>$A$2="PRINT"</formula>
    </cfRule>
  </conditionalFormatting>
  <conditionalFormatting sqref="E546">
    <cfRule type="expression" dxfId="1175" priority="28">
      <formula>$A$2="PRINT"</formula>
    </cfRule>
  </conditionalFormatting>
  <conditionalFormatting sqref="E565">
    <cfRule type="expression" dxfId="1174" priority="27">
      <formula>$A$2="PRINT"</formula>
    </cfRule>
  </conditionalFormatting>
  <conditionalFormatting sqref="E584">
    <cfRule type="expression" dxfId="1173" priority="26">
      <formula>$A$2="PRINT"</formula>
    </cfRule>
  </conditionalFormatting>
  <conditionalFormatting sqref="E603">
    <cfRule type="expression" dxfId="1172" priority="25">
      <formula>$A$2="PRINT"</formula>
    </cfRule>
  </conditionalFormatting>
  <conditionalFormatting sqref="E622">
    <cfRule type="expression" dxfId="1171" priority="24">
      <formula>$A$2="PRINT"</formula>
    </cfRule>
  </conditionalFormatting>
  <conditionalFormatting sqref="E641">
    <cfRule type="expression" dxfId="1170" priority="23">
      <formula>$A$2="PRINT"</formula>
    </cfRule>
  </conditionalFormatting>
  <conditionalFormatting sqref="E660">
    <cfRule type="expression" dxfId="1169" priority="22">
      <formula>$A$2="PRINT"</formula>
    </cfRule>
  </conditionalFormatting>
  <conditionalFormatting sqref="E679">
    <cfRule type="expression" dxfId="1168" priority="21">
      <formula>$A$2="PRINT"</formula>
    </cfRule>
  </conditionalFormatting>
  <conditionalFormatting sqref="E698">
    <cfRule type="expression" dxfId="1167" priority="20">
      <formula>$A$2="PRINT"</formula>
    </cfRule>
  </conditionalFormatting>
  <conditionalFormatting sqref="E717">
    <cfRule type="expression" dxfId="1166" priority="19">
      <formula>$A$2="PRINT"</formula>
    </cfRule>
  </conditionalFormatting>
  <conditionalFormatting sqref="E736">
    <cfRule type="expression" dxfId="1165" priority="18">
      <formula>$A$2="PRINT"</formula>
    </cfRule>
  </conditionalFormatting>
  <conditionalFormatting sqref="E755">
    <cfRule type="expression" dxfId="1164" priority="17">
      <formula>$A$2="PRINT"</formula>
    </cfRule>
  </conditionalFormatting>
  <conditionalFormatting sqref="E774">
    <cfRule type="expression" dxfId="1163" priority="16">
      <formula>$A$2="PRINT"</formula>
    </cfRule>
  </conditionalFormatting>
  <conditionalFormatting sqref="E793">
    <cfRule type="expression" dxfId="1162" priority="15">
      <formula>$A$2="PRINT"</formula>
    </cfRule>
  </conditionalFormatting>
  <conditionalFormatting sqref="E812">
    <cfRule type="expression" dxfId="1161" priority="14">
      <formula>$A$2="PRINT"</formula>
    </cfRule>
  </conditionalFormatting>
  <conditionalFormatting sqref="E831">
    <cfRule type="expression" dxfId="1160" priority="13">
      <formula>$A$2="PRINT"</formula>
    </cfRule>
  </conditionalFormatting>
  <conditionalFormatting sqref="E850">
    <cfRule type="expression" dxfId="1159" priority="12">
      <formula>$A$2="PRINT"</formula>
    </cfRule>
  </conditionalFormatting>
  <conditionalFormatting sqref="E869">
    <cfRule type="expression" dxfId="1158" priority="11">
      <formula>$A$2="PRINT"</formula>
    </cfRule>
  </conditionalFormatting>
  <conditionalFormatting sqref="E888">
    <cfRule type="expression" dxfId="1157" priority="10">
      <formula>$A$2="PRINT"</formula>
    </cfRule>
  </conditionalFormatting>
  <conditionalFormatting sqref="E907">
    <cfRule type="expression" dxfId="1156" priority="9">
      <formula>$A$2="PRINT"</formula>
    </cfRule>
  </conditionalFormatting>
  <conditionalFormatting sqref="E926">
    <cfRule type="expression" dxfId="1155" priority="8">
      <formula>$A$2="PRINT"</formula>
    </cfRule>
  </conditionalFormatting>
  <conditionalFormatting sqref="E945">
    <cfRule type="expression" dxfId="1154" priority="7">
      <formula>$A$2="PRINT"</formula>
    </cfRule>
  </conditionalFormatting>
  <conditionalFormatting sqref="E964">
    <cfRule type="expression" dxfId="1153" priority="6">
      <formula>$A$2="PRINT"</formula>
    </cfRule>
  </conditionalFormatting>
  <conditionalFormatting sqref="E983">
    <cfRule type="expression" dxfId="1152" priority="5">
      <formula>$A$2="PRINT"</formula>
    </cfRule>
  </conditionalFormatting>
  <conditionalFormatting sqref="E1002">
    <cfRule type="expression" dxfId="1151" priority="4">
      <formula>$A$2="PRINT"</formula>
    </cfRule>
  </conditionalFormatting>
  <conditionalFormatting sqref="B1031 B1033 B1035 B1037 B1039 B1041 B1043 B1045 B1047 B1049:B1050">
    <cfRule type="expression" dxfId="1150" priority="3">
      <formula>$A$2="PRINT"</formula>
    </cfRule>
  </conditionalFormatting>
  <conditionalFormatting sqref="B1032 B1034 B1036 B1038 B1040 B1042 B1044 B1046 B1048">
    <cfRule type="expression" dxfId="1149" priority="2">
      <formula>$A$2="PRINT"</formula>
    </cfRule>
  </conditionalFormatting>
  <conditionalFormatting sqref="D1027:F1027">
    <cfRule type="expression" dxfId="1148" priority="1">
      <formula>$A$2="PRINT"</formula>
    </cfRule>
  </conditionalFormatting>
  <dataValidations count="5">
    <dataValidation type="list" allowBlank="1" showErrorMessage="1" sqref="D1027:F1027" xr:uid="{00000000-0002-0000-1000-000000000000}">
      <formula1>"Click to select number of new other investments,0,1,2,3,4,5,6,7,8,9,10,11,12,13,14,15,16,17,18,19,20"</formula1>
    </dataValidation>
    <dataValidation type="list" allowBlank="1" showErrorMessage="1" sqref="D6:F6" xr:uid="{00000000-0002-0000-10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0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0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000-000004000000}">
      <formula1>"Click to select,Yes,No"</formula1>
    </dataValidation>
  </dataValidations>
  <hyperlinks>
    <hyperlink ref="B10" location="'2.1 Investments_ANSP#1'!B83" tooltip="Go to Project #" display="1" xr:uid="{00000000-0004-0000-1000-000000000000}"/>
    <hyperlink ref="B11" location="'2.1 Investments_ANSP#1'!B102" tooltip="Go to Project #" display="2" xr:uid="{00000000-0004-0000-1000-000001000000}"/>
    <hyperlink ref="B12" location="'2.1 Investments_ANSP#1'!B121" tooltip="Go to Project #" display="3" xr:uid="{00000000-0004-0000-1000-000002000000}"/>
    <hyperlink ref="B13" location="'2.1 Investments_ANSP#1'!B140" tooltip="Go to Project #" display="4" xr:uid="{00000000-0004-0000-1000-000003000000}"/>
    <hyperlink ref="B14" location="'2.1 Investments_ANSP#1'!B159" tooltip="Go to Project #" display="5" xr:uid="{00000000-0004-0000-1000-000004000000}"/>
    <hyperlink ref="B15" location="'2.1 Investments_ANSP#1'!B178" tooltip="Go to Project #" display="6" xr:uid="{00000000-0004-0000-1000-000005000000}"/>
    <hyperlink ref="B16" location="'2.1 Investments_ANSP#1'!B197" tooltip="Go to Project #" display="7" xr:uid="{00000000-0004-0000-1000-000006000000}"/>
    <hyperlink ref="B17" location="'2.1 Investments_ANSP#1'!B216" tooltip="Go to Project #" display="8" xr:uid="{00000000-0004-0000-1000-000007000000}"/>
    <hyperlink ref="B18" location="'2.1 Investments_ANSP#1'!B235" tooltip="Go to Project #" display="9" xr:uid="{00000000-0004-0000-1000-000008000000}"/>
    <hyperlink ref="B19" location="'2.1 Investments_ANSP#1'!B254" tooltip="Go to Project #" display="10" xr:uid="{00000000-0004-0000-1000-000009000000}"/>
    <hyperlink ref="B20" location="'2.1 Investments_ANSP#1'!B273" tooltip="Go to Project #" display="11" xr:uid="{00000000-0004-0000-1000-00000A000000}"/>
    <hyperlink ref="B21" location="'2.1 Investments_ANSP#1'!B292" tooltip="Go to Project #" display="12" xr:uid="{00000000-0004-0000-1000-00000B000000}"/>
    <hyperlink ref="B22" location="'2.1 Investments_ANSP#1'!B311" tooltip="Go to Project #" display="13" xr:uid="{00000000-0004-0000-1000-00000C000000}"/>
    <hyperlink ref="B23" location="'2.1 Investments_ANSP#1'!B330" tooltip="Go to Project #" display="14" xr:uid="{00000000-0004-0000-1000-00000D000000}"/>
    <hyperlink ref="B24" location="'2.1 Investments_ANSP#1'!B349" tooltip="Go to Project #" display="15" xr:uid="{00000000-0004-0000-1000-00000E000000}"/>
    <hyperlink ref="B25" location="'2.1 Investments_ANSP#1'!B368" tooltip="Go to Project #" display="16" xr:uid="{00000000-0004-0000-1000-00000F000000}"/>
    <hyperlink ref="B26" location="'2.1 Investments_ANSP#1'!B387" tooltip="Go to Project #" display="17" xr:uid="{00000000-0004-0000-1000-000010000000}"/>
    <hyperlink ref="B27" location="'2.1 Investments_ANSP#1'!B406" tooltip="Go to Project #" display="18" xr:uid="{00000000-0004-0000-1000-000011000000}"/>
    <hyperlink ref="B28" location="'2.1 Investments_ANSP#1'!B425" tooltip="Go to Project #" display="19" xr:uid="{00000000-0004-0000-1000-000012000000}"/>
    <hyperlink ref="B29" location="'2.1 Investments_ANSP#1'!B444" tooltip="Go to Project #" display="20" xr:uid="{00000000-0004-0000-1000-000013000000}"/>
    <hyperlink ref="B30" location="'2.1 Investments_ANSP#1'!B463" tooltip="Go to Project #" display="21" xr:uid="{00000000-0004-0000-1000-000014000000}"/>
    <hyperlink ref="B31" location="'2.1 Investments_ANSP#1'!B482" tooltip="Go to Project #" display="22" xr:uid="{00000000-0004-0000-1000-000015000000}"/>
    <hyperlink ref="B32" location="'2.1 Investments_ANSP#1'!B501" tooltip="Go to Project #" display="23" xr:uid="{00000000-0004-0000-1000-000016000000}"/>
    <hyperlink ref="B33" location="'2.1 Investments_ANSP#1'!B520" tooltip="Go to Project #" display="24" xr:uid="{00000000-0004-0000-1000-000017000000}"/>
    <hyperlink ref="B34" location="'2.1 Investments_ANSP#1'!B539" tooltip="Go to Project #" display="25" xr:uid="{00000000-0004-0000-1000-000018000000}"/>
    <hyperlink ref="B35" location="'2.1 Investments_ANSP#1'!B558" tooltip="Go to Project #" display="26" xr:uid="{00000000-0004-0000-1000-000019000000}"/>
    <hyperlink ref="B36" location="'2.1 Investments_ANSP#1'!B577" tooltip="Go to Project #" display="27" xr:uid="{00000000-0004-0000-1000-00001A000000}"/>
    <hyperlink ref="B37" location="'2.1 Investments_ANSP#1'!B596" tooltip="Go to Project #" display="28" xr:uid="{00000000-0004-0000-1000-00001B000000}"/>
    <hyperlink ref="B38" location="'2.1 Investments_ANSP#1'!B615" tooltip="Go to Project #" display="29" xr:uid="{00000000-0004-0000-1000-00001C000000}"/>
    <hyperlink ref="B39" location="'2.1 Investments_ANSP#1'!B634" tooltip="Go to Project #" display="30" xr:uid="{00000000-0004-0000-1000-00001D000000}"/>
    <hyperlink ref="B40" location="'2.1 Investments_ANSP#1'!B653" tooltip="Go to Project #" display="31" xr:uid="{00000000-0004-0000-1000-00001E000000}"/>
    <hyperlink ref="B41" location="'2.1 Investments_ANSP#1'!B672" tooltip="Go to Project #" display="32" xr:uid="{00000000-0004-0000-1000-00001F000000}"/>
    <hyperlink ref="B42" location="'2.1 Investments_ANSP#1'!B691" tooltip="Go to Project #" display="33" xr:uid="{00000000-0004-0000-1000-000020000000}"/>
    <hyperlink ref="B43" location="'2.1 Investments_ANSP#1'!B710" tooltip="Go to Project #" display="34" xr:uid="{00000000-0004-0000-1000-000021000000}"/>
    <hyperlink ref="B44" location="'2.1 Investments_ANSP#1'!B729" tooltip="Go to Project #" display="35" xr:uid="{00000000-0004-0000-1000-000022000000}"/>
    <hyperlink ref="B45" location="'2.1 Investments_ANSP#1'!B748" tooltip="Go to Project #" display="36" xr:uid="{00000000-0004-0000-1000-000023000000}"/>
    <hyperlink ref="B46" location="'2.1 Investments_ANSP#1'!B767" tooltip="Go to Project #" display="37" xr:uid="{00000000-0004-0000-1000-000024000000}"/>
    <hyperlink ref="B47" location="'2.1 Investments_ANSP#1'!B786" tooltip="Go to Project #" display="38" xr:uid="{00000000-0004-0000-1000-000025000000}"/>
    <hyperlink ref="B48" location="'2.1 Investments_ANSP#1'!B805" tooltip="Go to Project #" display="39" xr:uid="{00000000-0004-0000-1000-000026000000}"/>
    <hyperlink ref="B49" location="'2.1 Investments_ANSP#1'!B824" tooltip="Go to Project #" display="40" xr:uid="{00000000-0004-0000-1000-000027000000}"/>
    <hyperlink ref="B50" location="'2.1 Investments_ANSP#1'!B843" tooltip="Go to Project #" display="41" xr:uid="{00000000-0004-0000-1000-000028000000}"/>
    <hyperlink ref="B51" location="'2.1 Investments_ANSP#1'!B862" tooltip="Go to Project #" display="42" xr:uid="{00000000-0004-0000-1000-000029000000}"/>
    <hyperlink ref="B52" location="'2.1 Investments_ANSP#1'!B881" tooltip="Go to Project #" display="43" xr:uid="{00000000-0004-0000-1000-00002A000000}"/>
    <hyperlink ref="B53" location="'2.1 Investments_ANSP#1'!B900" tooltip="Go to Project #" display="44" xr:uid="{00000000-0004-0000-1000-00002B000000}"/>
    <hyperlink ref="B54" location="'2.1 Investments_ANSP#1'!B919" tooltip="Go to Project #" display="45" xr:uid="{00000000-0004-0000-1000-00002C000000}"/>
    <hyperlink ref="B55" location="'2.1 Investments_ANSP#1'!B938" tooltip="Go to Project #" display="46" xr:uid="{00000000-0004-0000-1000-00002D000000}"/>
    <hyperlink ref="B56" location="'2.1 Investments_ANSP#1'!B957" tooltip="Go to Project #" display="47" xr:uid="{00000000-0004-0000-1000-00002E000000}"/>
    <hyperlink ref="B57" location="'2.1 Investments_ANSP#1'!B976" tooltip="Go to Project #" display="48" xr:uid="{00000000-0004-0000-1000-00002F000000}"/>
    <hyperlink ref="B58" location="'2.1 Investments_ANSP#1'!B995" tooltip="Go to Project #" display="49" xr:uid="{00000000-0004-0000-1000-000030000000}"/>
    <hyperlink ref="B59" location="'2.1 Investments_ANSP#1'!B1014" tooltip="Go to Project #" display="50" xr:uid="{00000000-0004-0000-1000-000031000000}"/>
    <hyperlink ref="A69" location="'2.1 Investments_ANSP#1'!B4" tooltip="Go to top" display="'2.1 Investments_ANSP#1'!B4" xr:uid="{00000000-0004-0000-1000-000032000000}"/>
    <hyperlink ref="A943" location="'2.1 Investments_ANSP#1'!B4" tooltip="Go to top" display="'2.1 Investments_ANSP#1'!B4" xr:uid="{00000000-0004-0000-1000-000033000000}"/>
    <hyperlink ref="A962" location="'2.1 Investments_ANSP#1'!B4" tooltip="Go to top" display="'2.1 Investments_ANSP#1'!B4" xr:uid="{00000000-0004-0000-1000-000034000000}"/>
    <hyperlink ref="A981" location="'2.1 Investments_ANSP#1'!B4" tooltip="Go to top" display="'2.1 Investments_ANSP#1'!B4" xr:uid="{00000000-0004-0000-1000-000035000000}"/>
    <hyperlink ref="A1000" location="'2.1 Investments_ANSP#1'!B4" tooltip="Go to top" display="'2.1 Investments_ANSP#1'!B4" xr:uid="{00000000-0004-0000-1000-000036000000}"/>
    <hyperlink ref="A88" location="'2.1 Investments_ANSP#1'!B4" tooltip="Go to top" display="'2.1 Investments_ANSP#1'!B4" xr:uid="{00000000-0004-0000-1000-000037000000}"/>
    <hyperlink ref="A107" location="'2.1 Investments_ANSP#1'!B4" tooltip="Go to top" display="'2.1 Investments_ANSP#1'!B4" xr:uid="{00000000-0004-0000-1000-000038000000}"/>
    <hyperlink ref="A126" location="'2.1 Investments_ANSP#1'!B4" tooltip="Go to top" display="'2.1 Investments_ANSP#1'!B4" xr:uid="{00000000-0004-0000-1000-000039000000}"/>
    <hyperlink ref="A145" location="'2.1 Investments_ANSP#1'!B4" tooltip="Go to top" display="'2.1 Investments_ANSP#1'!B4" xr:uid="{00000000-0004-0000-1000-00003A000000}"/>
    <hyperlink ref="A164" location="'2.1 Investments_ANSP#1'!B4" tooltip="Go to top" display="'2.1 Investments_ANSP#1'!B4" xr:uid="{00000000-0004-0000-1000-00003B000000}"/>
    <hyperlink ref="A183" location="'2.1 Investments_ANSP#1'!B4" tooltip="Go to top" display="'2.1 Investments_ANSP#1'!B4" xr:uid="{00000000-0004-0000-1000-00003C000000}"/>
    <hyperlink ref="A202" location="'2.1 Investments_ANSP#1'!B4" tooltip="Go to top" display="'2.1 Investments_ANSP#1'!B4" xr:uid="{00000000-0004-0000-1000-00003D000000}"/>
    <hyperlink ref="A221" location="'2.1 Investments_ANSP#1'!B4" tooltip="Go to top" display="'2.1 Investments_ANSP#1'!B4" xr:uid="{00000000-0004-0000-1000-00003E000000}"/>
    <hyperlink ref="A240" location="'2.1 Investments_ANSP#1'!B4" tooltip="Go to top" display="'2.1 Investments_ANSP#1'!B4" xr:uid="{00000000-0004-0000-1000-00003F000000}"/>
    <hyperlink ref="A259" location="'2.1 Investments_ANSP#1'!B4" tooltip="Go to top" display="'2.1 Investments_ANSP#1'!B4" xr:uid="{00000000-0004-0000-1000-000040000000}"/>
    <hyperlink ref="A278" location="'2.1 Investments_ANSP#1'!B4" tooltip="Go to top" display="'2.1 Investments_ANSP#1'!B4" xr:uid="{00000000-0004-0000-1000-000041000000}"/>
    <hyperlink ref="A297" location="'2.1 Investments_ANSP#1'!B4" tooltip="Go to top" display="'2.1 Investments_ANSP#1'!B4" xr:uid="{00000000-0004-0000-1000-000042000000}"/>
    <hyperlink ref="A316" location="'2.1 Investments_ANSP#1'!B4" tooltip="Go to top" display="'2.1 Investments_ANSP#1'!B4" xr:uid="{00000000-0004-0000-1000-000043000000}"/>
    <hyperlink ref="A335" location="'2.1 Investments_ANSP#1'!B4" tooltip="Go to top" display="'2.1 Investments_ANSP#1'!B4" xr:uid="{00000000-0004-0000-1000-000044000000}"/>
    <hyperlink ref="A354" location="'2.1 Investments_ANSP#1'!B4" tooltip="Go to top" display="'2.1 Investments_ANSP#1'!B4" xr:uid="{00000000-0004-0000-1000-000045000000}"/>
    <hyperlink ref="A373" location="'2.1 Investments_ANSP#1'!B4" tooltip="Go to top" display="'2.1 Investments_ANSP#1'!B4" xr:uid="{00000000-0004-0000-1000-000046000000}"/>
    <hyperlink ref="A392" location="'2.1 Investments_ANSP#1'!B4" tooltip="Go to top" display="'2.1 Investments_ANSP#1'!B4" xr:uid="{00000000-0004-0000-1000-000047000000}"/>
    <hyperlink ref="A411" location="'2.1 Investments_ANSP#1'!B4" tooltip="Go to top" display="'2.1 Investments_ANSP#1'!B4" xr:uid="{00000000-0004-0000-1000-000048000000}"/>
    <hyperlink ref="A430" location="'2.1 Investments_ANSP#1'!B4" tooltip="Go to top" display="'2.1 Investments_ANSP#1'!B4" xr:uid="{00000000-0004-0000-1000-000049000000}"/>
    <hyperlink ref="A449" location="'2.1 Investments_ANSP#1'!B4" tooltip="Go to top" display="'2.1 Investments_ANSP#1'!B4" xr:uid="{00000000-0004-0000-1000-00004A000000}"/>
    <hyperlink ref="A468" location="'2.1 Investments_ANSP#1'!B4" tooltip="Go to top" display="'2.1 Investments_ANSP#1'!B4" xr:uid="{00000000-0004-0000-1000-00004B000000}"/>
    <hyperlink ref="A487" location="'2.1 Investments_ANSP#1'!B4" tooltip="Go to top" display="'2.1 Investments_ANSP#1'!B4" xr:uid="{00000000-0004-0000-1000-00004C000000}"/>
    <hyperlink ref="A506" location="'2.1 Investments_ANSP#1'!B4" tooltip="Go to top" display="'2.1 Investments_ANSP#1'!B4" xr:uid="{00000000-0004-0000-1000-00004D000000}"/>
    <hyperlink ref="A525" location="'2.1 Investments_ANSP#1'!B4" tooltip="Go to top" display="'2.1 Investments_ANSP#1'!B4" xr:uid="{00000000-0004-0000-1000-00004E000000}"/>
    <hyperlink ref="A544" location="'2.1 Investments_ANSP#1'!B4" tooltip="Go to top" display="'2.1 Investments_ANSP#1'!B4" xr:uid="{00000000-0004-0000-1000-00004F000000}"/>
    <hyperlink ref="A563" location="'2.1 Investments_ANSP#1'!B4" tooltip="Go to top" display="'2.1 Investments_ANSP#1'!B4" xr:uid="{00000000-0004-0000-1000-000050000000}"/>
    <hyperlink ref="A582" location="'2.1 Investments_ANSP#1'!B4" tooltip="Go to top" display="'2.1 Investments_ANSP#1'!B4" xr:uid="{00000000-0004-0000-1000-000051000000}"/>
    <hyperlink ref="A601" location="'2.1 Investments_ANSP#1'!B4" tooltip="Go to top" display="'2.1 Investments_ANSP#1'!B4" xr:uid="{00000000-0004-0000-1000-000052000000}"/>
    <hyperlink ref="A620" location="'2.1 Investments_ANSP#1'!B4" tooltip="Go to top" display="'2.1 Investments_ANSP#1'!B4" xr:uid="{00000000-0004-0000-1000-000053000000}"/>
    <hyperlink ref="A639" location="'2.1 Investments_ANSP#1'!B4" tooltip="Go to top" display="'2.1 Investments_ANSP#1'!B4" xr:uid="{00000000-0004-0000-1000-000054000000}"/>
    <hyperlink ref="A658" location="'2.1 Investments_ANSP#1'!B4" tooltip="Go to top" display="'2.1 Investments_ANSP#1'!B4" xr:uid="{00000000-0004-0000-1000-000055000000}"/>
    <hyperlink ref="A677" location="'2.1 Investments_ANSP#1'!B4" tooltip="Go to top" display="'2.1 Investments_ANSP#1'!B4" xr:uid="{00000000-0004-0000-1000-000056000000}"/>
    <hyperlink ref="A696" location="'2.1 Investments_ANSP#1'!B4" tooltip="Go to top" display="'2.1 Investments_ANSP#1'!B4" xr:uid="{00000000-0004-0000-1000-000057000000}"/>
    <hyperlink ref="A715" location="'2.1 Investments_ANSP#1'!B4" tooltip="Go to top" display="'2.1 Investments_ANSP#1'!B4" xr:uid="{00000000-0004-0000-1000-000058000000}"/>
    <hyperlink ref="A734" location="'2.1 Investments_ANSP#1'!B4" tooltip="Go to top" display="'2.1 Investments_ANSP#1'!B4" xr:uid="{00000000-0004-0000-1000-000059000000}"/>
    <hyperlink ref="A753" location="'2.1 Investments_ANSP#1'!B4" tooltip="Go to top" display="'2.1 Investments_ANSP#1'!B4" xr:uid="{00000000-0004-0000-1000-00005A000000}"/>
    <hyperlink ref="A772" location="'2.1 Investments_ANSP#1'!B4" tooltip="Go to top" display="'2.1 Investments_ANSP#1'!B4" xr:uid="{00000000-0004-0000-1000-00005B000000}"/>
    <hyperlink ref="A791" location="'2.1 Investments_ANSP#1'!B4" tooltip="Go to top" display="'2.1 Investments_ANSP#1'!B4" xr:uid="{00000000-0004-0000-1000-00005C000000}"/>
    <hyperlink ref="A810" location="'2.1 Investments_ANSP#1'!B4" tooltip="Go to top" display="'2.1 Investments_ANSP#1'!B4" xr:uid="{00000000-0004-0000-1000-00005D000000}"/>
    <hyperlink ref="A829" location="'2.1 Investments_ANSP#1'!B4" tooltip="Go to top" display="'2.1 Investments_ANSP#1'!B4" xr:uid="{00000000-0004-0000-1000-00005E000000}"/>
    <hyperlink ref="A848" location="'2.1 Investments_ANSP#1'!B4" tooltip="Go to top" display="'2.1 Investments_ANSP#1'!B4" xr:uid="{00000000-0004-0000-1000-00005F000000}"/>
    <hyperlink ref="A867" location="'2.1 Investments_ANSP#1'!B4" tooltip="Go to top" display="'2.1 Investments_ANSP#1'!B4" xr:uid="{00000000-0004-0000-1000-000060000000}"/>
    <hyperlink ref="A886" location="'2.1 Investments_ANSP#1'!B4" tooltip="Go to top" display="'2.1 Investments_ANSP#1'!B4" xr:uid="{00000000-0004-0000-1000-000061000000}"/>
    <hyperlink ref="A905" location="'2.1 Investments_ANSP#1'!B4" tooltip="Go to top" display="'2.1 Investments_ANSP#1'!B4" xr:uid="{00000000-0004-0000-1000-000062000000}"/>
    <hyperlink ref="A924" location="'2.1 Investments_ANSP#1'!B4" tooltip="Go to top" display="'2.1 Investments_ANSP#1'!B4" xr:uid="{00000000-0004-0000-10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5">
    <tabColor theme="2" tint="-0.249977111117893"/>
    <pageSetUpPr fitToPage="1"/>
  </sheetPr>
  <dimension ref="A1:Q1052"/>
  <sheetViews>
    <sheetView showGridLines="0" zoomScaleNormal="100" workbookViewId="0">
      <selection activeCell="B2" sqref="B2"/>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"2.5 - Investments - "&amp;'1.1 The situation'!$B$17</f>
        <v xml:space="preserve">2.5 - Investments - </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1023</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t="s">
        <v>1378</v>
      </c>
      <c r="E6" s="850"/>
      <c r="F6" s="850"/>
      <c r="G6" s="144"/>
    </row>
    <row r="7" spans="1:17" ht="15" customHeight="1">
      <c r="B7" s="132"/>
      <c r="C7" s="132"/>
      <c r="D7" s="132"/>
      <c r="E7" s="132"/>
      <c r="F7" s="132"/>
    </row>
    <row r="8" spans="1:17" ht="30" customHeight="1">
      <c r="B8" s="673" t="s">
        <v>361</v>
      </c>
      <c r="C8" s="673" t="s">
        <v>324</v>
      </c>
      <c r="D8" s="673" t="s">
        <v>316</v>
      </c>
      <c r="E8" s="673" t="s">
        <v>993</v>
      </c>
      <c r="F8" s="673" t="s">
        <v>317</v>
      </c>
      <c r="G8" s="673"/>
      <c r="H8" s="673"/>
      <c r="I8" s="673"/>
      <c r="J8" s="673"/>
      <c r="K8" s="673" t="s">
        <v>40</v>
      </c>
      <c r="L8" s="673" t="s">
        <v>362</v>
      </c>
      <c r="M8" s="674"/>
      <c r="N8" s="673" t="s">
        <v>358</v>
      </c>
      <c r="O8" s="144"/>
      <c r="Q8" s="43"/>
    </row>
    <row r="9" spans="1:17" ht="29.25" customHeight="1">
      <c r="B9" s="673" t="s">
        <v>361</v>
      </c>
      <c r="C9" s="673"/>
      <c r="D9" s="673"/>
      <c r="E9" s="833"/>
      <c r="F9" s="198">
        <v>2020</v>
      </c>
      <c r="G9" s="198">
        <v>2021</v>
      </c>
      <c r="H9" s="198">
        <v>2022</v>
      </c>
      <c r="I9" s="198">
        <v>2023</v>
      </c>
      <c r="J9" s="198">
        <v>2024</v>
      </c>
      <c r="K9" s="673"/>
      <c r="L9" s="136" t="s">
        <v>303</v>
      </c>
      <c r="M9" s="136" t="s">
        <v>264</v>
      </c>
      <c r="N9" s="673"/>
      <c r="O9" s="144"/>
    </row>
    <row r="10" spans="1:17" hidden="1">
      <c r="A10" s="216"/>
      <c r="B10" s="217">
        <v>1</v>
      </c>
      <c r="C10" s="218"/>
      <c r="D10" s="205"/>
      <c r="E10" s="205"/>
      <c r="F10" s="205"/>
      <c r="G10" s="205"/>
      <c r="H10" s="205"/>
      <c r="I10" s="205"/>
      <c r="J10" s="205"/>
      <c r="K10" s="205"/>
      <c r="L10" s="219"/>
      <c r="M10" s="219"/>
      <c r="N10" s="220"/>
      <c r="O10" s="144"/>
    </row>
    <row r="11" spans="1:17" hidden="1">
      <c r="A11" s="216"/>
      <c r="B11" s="217">
        <v>2</v>
      </c>
      <c r="C11" s="218"/>
      <c r="D11" s="205"/>
      <c r="E11" s="205"/>
      <c r="F11" s="205"/>
      <c r="G11" s="205"/>
      <c r="H11" s="205"/>
      <c r="I11" s="205"/>
      <c r="J11" s="205"/>
      <c r="K11" s="205"/>
      <c r="L11" s="219"/>
      <c r="M11" s="219"/>
      <c r="N11" s="220"/>
      <c r="O11" s="144"/>
    </row>
    <row r="12" spans="1:17" hidden="1">
      <c r="A12" s="216"/>
      <c r="B12" s="217">
        <v>3</v>
      </c>
      <c r="C12" s="218"/>
      <c r="D12" s="205"/>
      <c r="E12" s="205"/>
      <c r="F12" s="205"/>
      <c r="G12" s="205"/>
      <c r="H12" s="205"/>
      <c r="I12" s="205"/>
      <c r="J12" s="205"/>
      <c r="K12" s="205"/>
      <c r="L12" s="219"/>
      <c r="M12" s="219"/>
      <c r="N12" s="220"/>
      <c r="O12" s="144"/>
    </row>
    <row r="13" spans="1:17" hidden="1">
      <c r="A13" s="216"/>
      <c r="B13" s="217">
        <v>4</v>
      </c>
      <c r="C13" s="218"/>
      <c r="D13" s="205"/>
      <c r="E13" s="205"/>
      <c r="F13" s="205"/>
      <c r="G13" s="205"/>
      <c r="H13" s="205"/>
      <c r="I13" s="205"/>
      <c r="J13" s="205"/>
      <c r="K13" s="205"/>
      <c r="L13" s="219"/>
      <c r="M13" s="219"/>
      <c r="N13" s="220"/>
      <c r="O13" s="144"/>
    </row>
    <row r="14" spans="1:17" hidden="1">
      <c r="A14" s="216"/>
      <c r="B14" s="217">
        <v>5</v>
      </c>
      <c r="C14" s="218"/>
      <c r="D14" s="205"/>
      <c r="E14" s="205"/>
      <c r="F14" s="205"/>
      <c r="G14" s="205"/>
      <c r="H14" s="205"/>
      <c r="I14" s="205"/>
      <c r="J14" s="205"/>
      <c r="K14" s="205"/>
      <c r="L14" s="219"/>
      <c r="M14" s="219"/>
      <c r="N14" s="220"/>
      <c r="O14" s="144"/>
    </row>
    <row r="15" spans="1:17" hidden="1">
      <c r="A15" s="216"/>
      <c r="B15" s="217">
        <v>6</v>
      </c>
      <c r="C15" s="218"/>
      <c r="D15" s="205"/>
      <c r="E15" s="205"/>
      <c r="F15" s="205"/>
      <c r="G15" s="205"/>
      <c r="H15" s="205"/>
      <c r="I15" s="205"/>
      <c r="J15" s="205"/>
      <c r="K15" s="205"/>
      <c r="L15" s="219"/>
      <c r="M15" s="219"/>
      <c r="N15" s="220"/>
      <c r="O15" s="144"/>
    </row>
    <row r="16" spans="1:17" hidden="1">
      <c r="A16" s="216"/>
      <c r="B16" s="217">
        <v>7</v>
      </c>
      <c r="C16" s="218"/>
      <c r="D16" s="205"/>
      <c r="E16" s="205"/>
      <c r="F16" s="205"/>
      <c r="G16" s="205"/>
      <c r="H16" s="205"/>
      <c r="I16" s="205"/>
      <c r="J16" s="205"/>
      <c r="K16" s="205"/>
      <c r="L16" s="219"/>
      <c r="M16" s="219"/>
      <c r="N16" s="220"/>
      <c r="O16" s="144"/>
    </row>
    <row r="17" spans="1:15" hidden="1">
      <c r="A17" s="216"/>
      <c r="B17" s="217">
        <v>8</v>
      </c>
      <c r="C17" s="218"/>
      <c r="D17" s="205"/>
      <c r="E17" s="205"/>
      <c r="F17" s="205"/>
      <c r="G17" s="205"/>
      <c r="H17" s="205"/>
      <c r="I17" s="205"/>
      <c r="J17" s="205"/>
      <c r="K17" s="205"/>
      <c r="L17" s="219"/>
      <c r="M17" s="219"/>
      <c r="N17" s="220"/>
      <c r="O17" s="144"/>
    </row>
    <row r="18" spans="1:15" ht="15" hidden="1" customHeight="1">
      <c r="A18" s="216"/>
      <c r="B18" s="217">
        <v>9</v>
      </c>
      <c r="C18" s="218"/>
      <c r="D18" s="205"/>
      <c r="E18" s="205"/>
      <c r="F18" s="205"/>
      <c r="G18" s="205"/>
      <c r="H18" s="205"/>
      <c r="I18" s="205"/>
      <c r="J18" s="205"/>
      <c r="K18" s="205"/>
      <c r="L18" s="219"/>
      <c r="M18" s="219"/>
      <c r="N18" s="220"/>
      <c r="O18" s="144"/>
    </row>
    <row r="19" spans="1:15" ht="15" hidden="1" customHeight="1">
      <c r="A19" s="216"/>
      <c r="B19" s="217">
        <v>10</v>
      </c>
      <c r="C19" s="218"/>
      <c r="D19" s="205"/>
      <c r="E19" s="205"/>
      <c r="F19" s="205"/>
      <c r="G19" s="205"/>
      <c r="H19" s="205"/>
      <c r="I19" s="205"/>
      <c r="J19" s="205"/>
      <c r="K19" s="205"/>
      <c r="L19" s="219"/>
      <c r="M19" s="219"/>
      <c r="N19" s="220"/>
      <c r="O19" s="144"/>
    </row>
    <row r="20" spans="1:15" hidden="1">
      <c r="A20" s="216"/>
      <c r="B20" s="217">
        <v>11</v>
      </c>
      <c r="C20" s="218"/>
      <c r="D20" s="205"/>
      <c r="E20" s="205"/>
      <c r="F20" s="205"/>
      <c r="G20" s="205"/>
      <c r="H20" s="205"/>
      <c r="I20" s="205"/>
      <c r="J20" s="205"/>
      <c r="K20" s="205"/>
      <c r="L20" s="219"/>
      <c r="M20" s="219"/>
      <c r="N20" s="220"/>
      <c r="O20" s="144"/>
    </row>
    <row r="21" spans="1:15" ht="15" hidden="1" customHeight="1">
      <c r="A21" s="216"/>
      <c r="B21" s="217">
        <v>12</v>
      </c>
      <c r="C21" s="218"/>
      <c r="D21" s="205"/>
      <c r="E21" s="205"/>
      <c r="F21" s="205"/>
      <c r="G21" s="205"/>
      <c r="H21" s="205"/>
      <c r="I21" s="205"/>
      <c r="J21" s="205"/>
      <c r="K21" s="205"/>
      <c r="L21" s="219"/>
      <c r="M21" s="219"/>
      <c r="N21" s="220"/>
      <c r="O21" s="144"/>
    </row>
    <row r="22" spans="1:15" hidden="1">
      <c r="A22" s="216"/>
      <c r="B22" s="217">
        <v>13</v>
      </c>
      <c r="C22" s="218"/>
      <c r="D22" s="205"/>
      <c r="E22" s="205"/>
      <c r="F22" s="205"/>
      <c r="G22" s="205"/>
      <c r="H22" s="205"/>
      <c r="I22" s="205"/>
      <c r="J22" s="205"/>
      <c r="K22" s="205"/>
      <c r="L22" s="219"/>
      <c r="M22" s="219"/>
      <c r="N22" s="220"/>
      <c r="O22" s="144"/>
    </row>
    <row r="23" spans="1:15" hidden="1">
      <c r="A23" s="216"/>
      <c r="B23" s="217">
        <v>14</v>
      </c>
      <c r="C23" s="218"/>
      <c r="D23" s="205"/>
      <c r="E23" s="205"/>
      <c r="F23" s="205"/>
      <c r="G23" s="205"/>
      <c r="H23" s="205"/>
      <c r="I23" s="205"/>
      <c r="J23" s="205"/>
      <c r="K23" s="205"/>
      <c r="L23" s="219"/>
      <c r="M23" s="219"/>
      <c r="N23" s="220"/>
      <c r="O23" s="144"/>
    </row>
    <row r="24" spans="1:15" hidden="1">
      <c r="A24" s="216"/>
      <c r="B24" s="217">
        <v>15</v>
      </c>
      <c r="C24" s="218"/>
      <c r="D24" s="205"/>
      <c r="E24" s="205"/>
      <c r="F24" s="205"/>
      <c r="G24" s="205"/>
      <c r="H24" s="205"/>
      <c r="I24" s="205"/>
      <c r="J24" s="205"/>
      <c r="K24" s="205"/>
      <c r="L24" s="219"/>
      <c r="M24" s="219"/>
      <c r="N24" s="220"/>
      <c r="O24" s="144"/>
    </row>
    <row r="25" spans="1:15" hidden="1">
      <c r="A25" s="216"/>
      <c r="B25" s="217">
        <v>16</v>
      </c>
      <c r="C25" s="218"/>
      <c r="D25" s="205"/>
      <c r="E25" s="205"/>
      <c r="F25" s="205"/>
      <c r="G25" s="205"/>
      <c r="H25" s="205"/>
      <c r="I25" s="205"/>
      <c r="J25" s="205"/>
      <c r="K25" s="205"/>
      <c r="L25" s="219"/>
      <c r="M25" s="219"/>
      <c r="N25" s="220"/>
      <c r="O25" s="144"/>
    </row>
    <row r="26" spans="1:15" hidden="1">
      <c r="A26" s="216"/>
      <c r="B26" s="217">
        <v>17</v>
      </c>
      <c r="C26" s="218"/>
      <c r="D26" s="205"/>
      <c r="E26" s="205"/>
      <c r="F26" s="205"/>
      <c r="G26" s="205"/>
      <c r="H26" s="205"/>
      <c r="I26" s="205"/>
      <c r="J26" s="205"/>
      <c r="K26" s="205"/>
      <c r="L26" s="219"/>
      <c r="M26" s="219"/>
      <c r="N26" s="220"/>
      <c r="O26" s="144"/>
    </row>
    <row r="27" spans="1:15" hidden="1">
      <c r="A27" s="216"/>
      <c r="B27" s="217">
        <v>18</v>
      </c>
      <c r="C27" s="218"/>
      <c r="D27" s="205"/>
      <c r="E27" s="205"/>
      <c r="F27" s="205"/>
      <c r="G27" s="205"/>
      <c r="H27" s="205"/>
      <c r="I27" s="205"/>
      <c r="J27" s="205"/>
      <c r="K27" s="205"/>
      <c r="L27" s="219"/>
      <c r="M27" s="219"/>
      <c r="N27" s="220"/>
      <c r="O27" s="144"/>
    </row>
    <row r="28" spans="1:15" hidden="1">
      <c r="A28" s="216"/>
      <c r="B28" s="217">
        <v>19</v>
      </c>
      <c r="C28" s="218"/>
      <c r="D28" s="205"/>
      <c r="E28" s="205"/>
      <c r="F28" s="205"/>
      <c r="G28" s="205"/>
      <c r="H28" s="205"/>
      <c r="I28" s="205"/>
      <c r="J28" s="205"/>
      <c r="K28" s="205"/>
      <c r="L28" s="219"/>
      <c r="M28" s="219"/>
      <c r="N28" s="220"/>
      <c r="O28" s="144"/>
    </row>
    <row r="29" spans="1:15" hidden="1">
      <c r="A29" s="216"/>
      <c r="B29" s="217">
        <v>20</v>
      </c>
      <c r="C29" s="218"/>
      <c r="D29" s="205"/>
      <c r="E29" s="205"/>
      <c r="F29" s="205"/>
      <c r="G29" s="205"/>
      <c r="H29" s="205"/>
      <c r="I29" s="205"/>
      <c r="J29" s="205"/>
      <c r="K29" s="205"/>
      <c r="L29" s="219"/>
      <c r="M29" s="219"/>
      <c r="N29" s="220"/>
      <c r="O29" s="144"/>
    </row>
    <row r="30" spans="1:15" hidden="1">
      <c r="A30" s="216"/>
      <c r="B30" s="217">
        <v>21</v>
      </c>
      <c r="C30" s="218"/>
      <c r="D30" s="205"/>
      <c r="E30" s="205"/>
      <c r="F30" s="205"/>
      <c r="G30" s="205"/>
      <c r="H30" s="205"/>
      <c r="I30" s="205"/>
      <c r="J30" s="205"/>
      <c r="K30" s="205"/>
      <c r="L30" s="219"/>
      <c r="M30" s="219"/>
      <c r="N30" s="220"/>
      <c r="O30" s="144"/>
    </row>
    <row r="31" spans="1:15" hidden="1">
      <c r="A31" s="216"/>
      <c r="B31" s="217">
        <v>22</v>
      </c>
      <c r="C31" s="218"/>
      <c r="D31" s="205"/>
      <c r="E31" s="205"/>
      <c r="F31" s="205"/>
      <c r="G31" s="205"/>
      <c r="H31" s="205"/>
      <c r="I31" s="205"/>
      <c r="J31" s="205"/>
      <c r="K31" s="205"/>
      <c r="L31" s="219"/>
      <c r="M31" s="219"/>
      <c r="N31" s="220"/>
      <c r="O31" s="144"/>
    </row>
    <row r="32" spans="1:15" hidden="1">
      <c r="A32" s="216"/>
      <c r="B32" s="217">
        <v>23</v>
      </c>
      <c r="C32" s="218"/>
      <c r="D32" s="205"/>
      <c r="E32" s="205"/>
      <c r="F32" s="205"/>
      <c r="G32" s="205"/>
      <c r="H32" s="205"/>
      <c r="I32" s="205"/>
      <c r="J32" s="205"/>
      <c r="K32" s="205"/>
      <c r="L32" s="219"/>
      <c r="M32" s="219"/>
      <c r="N32" s="220"/>
      <c r="O32" s="144"/>
    </row>
    <row r="33" spans="1:15" hidden="1">
      <c r="A33" s="216"/>
      <c r="B33" s="217">
        <v>24</v>
      </c>
      <c r="C33" s="218"/>
      <c r="D33" s="205"/>
      <c r="E33" s="205"/>
      <c r="F33" s="205"/>
      <c r="G33" s="205"/>
      <c r="H33" s="205"/>
      <c r="I33" s="205"/>
      <c r="J33" s="205"/>
      <c r="K33" s="205"/>
      <c r="L33" s="219"/>
      <c r="M33" s="219"/>
      <c r="N33" s="220"/>
      <c r="O33" s="144"/>
    </row>
    <row r="34" spans="1:15" hidden="1">
      <c r="A34" s="216"/>
      <c r="B34" s="217">
        <v>25</v>
      </c>
      <c r="C34" s="218"/>
      <c r="D34" s="205"/>
      <c r="E34" s="205"/>
      <c r="F34" s="205"/>
      <c r="G34" s="205"/>
      <c r="H34" s="205"/>
      <c r="I34" s="205"/>
      <c r="J34" s="205"/>
      <c r="K34" s="205"/>
      <c r="L34" s="219"/>
      <c r="M34" s="219"/>
      <c r="N34" s="220"/>
      <c r="O34" s="144"/>
    </row>
    <row r="35" spans="1:15" hidden="1">
      <c r="A35" s="216"/>
      <c r="B35" s="217">
        <v>26</v>
      </c>
      <c r="C35" s="218"/>
      <c r="D35" s="205"/>
      <c r="E35" s="205"/>
      <c r="F35" s="205"/>
      <c r="G35" s="205"/>
      <c r="H35" s="205"/>
      <c r="I35" s="205"/>
      <c r="J35" s="205"/>
      <c r="K35" s="205"/>
      <c r="L35" s="219"/>
      <c r="M35" s="219"/>
      <c r="N35" s="220"/>
      <c r="O35" s="144"/>
    </row>
    <row r="36" spans="1:15" hidden="1">
      <c r="A36" s="216"/>
      <c r="B36" s="217">
        <v>27</v>
      </c>
      <c r="C36" s="218"/>
      <c r="D36" s="205"/>
      <c r="E36" s="205"/>
      <c r="F36" s="205"/>
      <c r="G36" s="205"/>
      <c r="H36" s="205"/>
      <c r="I36" s="205"/>
      <c r="J36" s="205"/>
      <c r="K36" s="205"/>
      <c r="L36" s="219"/>
      <c r="M36" s="219"/>
      <c r="N36" s="220"/>
      <c r="O36" s="144"/>
    </row>
    <row r="37" spans="1:15" hidden="1">
      <c r="A37" s="216"/>
      <c r="B37" s="217">
        <v>28</v>
      </c>
      <c r="C37" s="218"/>
      <c r="D37" s="205"/>
      <c r="E37" s="205"/>
      <c r="F37" s="205"/>
      <c r="G37" s="205"/>
      <c r="H37" s="205"/>
      <c r="I37" s="205"/>
      <c r="J37" s="205"/>
      <c r="K37" s="205"/>
      <c r="L37" s="219"/>
      <c r="M37" s="219"/>
      <c r="N37" s="220"/>
      <c r="O37" s="144"/>
    </row>
    <row r="38" spans="1:15" hidden="1">
      <c r="A38" s="216"/>
      <c r="B38" s="217">
        <v>29</v>
      </c>
      <c r="C38" s="218"/>
      <c r="D38" s="205"/>
      <c r="E38" s="205"/>
      <c r="F38" s="205"/>
      <c r="G38" s="205"/>
      <c r="H38" s="205"/>
      <c r="I38" s="205"/>
      <c r="J38" s="205"/>
      <c r="K38" s="205"/>
      <c r="L38" s="219"/>
      <c r="M38" s="219"/>
      <c r="N38" s="220"/>
      <c r="O38" s="144"/>
    </row>
    <row r="39" spans="1:15" hidden="1">
      <c r="A39" s="216"/>
      <c r="B39" s="217">
        <v>30</v>
      </c>
      <c r="C39" s="218"/>
      <c r="D39" s="205"/>
      <c r="E39" s="205"/>
      <c r="F39" s="205"/>
      <c r="G39" s="205"/>
      <c r="H39" s="205"/>
      <c r="I39" s="205"/>
      <c r="J39" s="205"/>
      <c r="K39" s="205"/>
      <c r="L39" s="219"/>
      <c r="M39" s="219"/>
      <c r="N39" s="220"/>
      <c r="O39" s="144"/>
    </row>
    <row r="40" spans="1:15" hidden="1">
      <c r="A40" s="216"/>
      <c r="B40" s="217">
        <v>31</v>
      </c>
      <c r="C40" s="218"/>
      <c r="D40" s="205"/>
      <c r="E40" s="205"/>
      <c r="F40" s="205"/>
      <c r="G40" s="205"/>
      <c r="H40" s="205"/>
      <c r="I40" s="205"/>
      <c r="J40" s="205"/>
      <c r="K40" s="205"/>
      <c r="L40" s="219"/>
      <c r="M40" s="219"/>
      <c r="N40" s="220"/>
      <c r="O40" s="144"/>
    </row>
    <row r="41" spans="1:15" hidden="1">
      <c r="A41" s="216"/>
      <c r="B41" s="217">
        <v>32</v>
      </c>
      <c r="C41" s="218"/>
      <c r="D41" s="205"/>
      <c r="E41" s="205"/>
      <c r="F41" s="205"/>
      <c r="G41" s="205"/>
      <c r="H41" s="205"/>
      <c r="I41" s="205"/>
      <c r="J41" s="205"/>
      <c r="K41" s="205"/>
      <c r="L41" s="219"/>
      <c r="M41" s="219"/>
      <c r="N41" s="220"/>
      <c r="O41" s="144"/>
    </row>
    <row r="42" spans="1:15" hidden="1">
      <c r="A42" s="216"/>
      <c r="B42" s="217">
        <v>33</v>
      </c>
      <c r="C42" s="218"/>
      <c r="D42" s="205"/>
      <c r="E42" s="205"/>
      <c r="F42" s="205"/>
      <c r="G42" s="205"/>
      <c r="H42" s="205"/>
      <c r="I42" s="205"/>
      <c r="J42" s="205"/>
      <c r="K42" s="205"/>
      <c r="L42" s="219"/>
      <c r="M42" s="219"/>
      <c r="N42" s="220"/>
      <c r="O42" s="144"/>
    </row>
    <row r="43" spans="1:15" hidden="1">
      <c r="A43" s="216"/>
      <c r="B43" s="217">
        <v>34</v>
      </c>
      <c r="C43" s="218"/>
      <c r="D43" s="205"/>
      <c r="E43" s="205"/>
      <c r="F43" s="205"/>
      <c r="G43" s="205"/>
      <c r="H43" s="205"/>
      <c r="I43" s="205"/>
      <c r="J43" s="205"/>
      <c r="K43" s="205"/>
      <c r="L43" s="219"/>
      <c r="M43" s="219"/>
      <c r="N43" s="220"/>
      <c r="O43" s="144"/>
    </row>
    <row r="44" spans="1:15" hidden="1">
      <c r="A44" s="216"/>
      <c r="B44" s="217">
        <v>35</v>
      </c>
      <c r="C44" s="218"/>
      <c r="D44" s="205"/>
      <c r="E44" s="205"/>
      <c r="F44" s="205"/>
      <c r="G44" s="205"/>
      <c r="H44" s="205"/>
      <c r="I44" s="205"/>
      <c r="J44" s="205"/>
      <c r="K44" s="205"/>
      <c r="L44" s="219"/>
      <c r="M44" s="219"/>
      <c r="N44" s="220"/>
      <c r="O44" s="144"/>
    </row>
    <row r="45" spans="1:15" hidden="1">
      <c r="A45" s="216"/>
      <c r="B45" s="217">
        <v>36</v>
      </c>
      <c r="C45" s="218"/>
      <c r="D45" s="205"/>
      <c r="E45" s="205"/>
      <c r="F45" s="205"/>
      <c r="G45" s="205"/>
      <c r="H45" s="205"/>
      <c r="I45" s="205"/>
      <c r="J45" s="205"/>
      <c r="K45" s="205"/>
      <c r="L45" s="219"/>
      <c r="M45" s="219"/>
      <c r="N45" s="220"/>
      <c r="O45" s="144"/>
    </row>
    <row r="46" spans="1:15" hidden="1">
      <c r="A46" s="216"/>
      <c r="B46" s="217">
        <v>37</v>
      </c>
      <c r="C46" s="218"/>
      <c r="D46" s="205"/>
      <c r="E46" s="205"/>
      <c r="F46" s="205"/>
      <c r="G46" s="205"/>
      <c r="H46" s="205"/>
      <c r="I46" s="205"/>
      <c r="J46" s="205"/>
      <c r="K46" s="205"/>
      <c r="L46" s="219"/>
      <c r="M46" s="219"/>
      <c r="N46" s="220"/>
      <c r="O46" s="144"/>
    </row>
    <row r="47" spans="1:15" hidden="1">
      <c r="A47" s="216"/>
      <c r="B47" s="217">
        <v>38</v>
      </c>
      <c r="C47" s="218"/>
      <c r="D47" s="205"/>
      <c r="E47" s="205"/>
      <c r="F47" s="205"/>
      <c r="G47" s="205"/>
      <c r="H47" s="205"/>
      <c r="I47" s="205"/>
      <c r="J47" s="205"/>
      <c r="K47" s="205"/>
      <c r="L47" s="219"/>
      <c r="M47" s="219"/>
      <c r="N47" s="220"/>
      <c r="O47" s="144"/>
    </row>
    <row r="48" spans="1:15" hidden="1">
      <c r="A48" s="216"/>
      <c r="B48" s="217">
        <v>39</v>
      </c>
      <c r="C48" s="218"/>
      <c r="D48" s="205"/>
      <c r="E48" s="205"/>
      <c r="F48" s="205"/>
      <c r="G48" s="205"/>
      <c r="H48" s="205"/>
      <c r="I48" s="205"/>
      <c r="J48" s="205"/>
      <c r="K48" s="205"/>
      <c r="L48" s="219"/>
      <c r="M48" s="219"/>
      <c r="N48" s="220"/>
      <c r="O48" s="144"/>
    </row>
    <row r="49" spans="1:15" hidden="1">
      <c r="A49" s="216"/>
      <c r="B49" s="217">
        <v>40</v>
      </c>
      <c r="C49" s="218"/>
      <c r="D49" s="205"/>
      <c r="E49" s="205"/>
      <c r="F49" s="205"/>
      <c r="G49" s="205"/>
      <c r="H49" s="205"/>
      <c r="I49" s="205"/>
      <c r="J49" s="205"/>
      <c r="K49" s="205"/>
      <c r="L49" s="219"/>
      <c r="M49" s="219"/>
      <c r="N49" s="220"/>
      <c r="O49" s="144"/>
    </row>
    <row r="50" spans="1:15" hidden="1">
      <c r="A50" s="216"/>
      <c r="B50" s="217">
        <v>41</v>
      </c>
      <c r="C50" s="218"/>
      <c r="D50" s="205"/>
      <c r="E50" s="205"/>
      <c r="F50" s="205"/>
      <c r="G50" s="205"/>
      <c r="H50" s="205"/>
      <c r="I50" s="205"/>
      <c r="J50" s="205"/>
      <c r="K50" s="205"/>
      <c r="L50" s="219"/>
      <c r="M50" s="219"/>
      <c r="N50" s="220"/>
      <c r="O50" s="144"/>
    </row>
    <row r="51" spans="1:15" hidden="1">
      <c r="A51" s="216"/>
      <c r="B51" s="217">
        <v>42</v>
      </c>
      <c r="C51" s="218"/>
      <c r="D51" s="205"/>
      <c r="E51" s="205"/>
      <c r="F51" s="205"/>
      <c r="G51" s="205"/>
      <c r="H51" s="205"/>
      <c r="I51" s="205"/>
      <c r="J51" s="205"/>
      <c r="K51" s="205"/>
      <c r="L51" s="219"/>
      <c r="M51" s="219"/>
      <c r="N51" s="220"/>
      <c r="O51" s="144"/>
    </row>
    <row r="52" spans="1:15" hidden="1">
      <c r="A52" s="216"/>
      <c r="B52" s="217">
        <v>43</v>
      </c>
      <c r="C52" s="218"/>
      <c r="D52" s="205"/>
      <c r="E52" s="205"/>
      <c r="F52" s="205"/>
      <c r="G52" s="205"/>
      <c r="H52" s="205"/>
      <c r="I52" s="205"/>
      <c r="J52" s="205"/>
      <c r="K52" s="205"/>
      <c r="L52" s="219"/>
      <c r="M52" s="219"/>
      <c r="N52" s="220"/>
      <c r="O52" s="144"/>
    </row>
    <row r="53" spans="1:15" hidden="1">
      <c r="A53" s="216"/>
      <c r="B53" s="217">
        <v>44</v>
      </c>
      <c r="C53" s="218"/>
      <c r="D53" s="205"/>
      <c r="E53" s="205"/>
      <c r="F53" s="205"/>
      <c r="G53" s="205"/>
      <c r="H53" s="205"/>
      <c r="I53" s="205"/>
      <c r="J53" s="205"/>
      <c r="K53" s="205"/>
      <c r="L53" s="219"/>
      <c r="M53" s="219"/>
      <c r="N53" s="220"/>
      <c r="O53" s="144"/>
    </row>
    <row r="54" spans="1:15" hidden="1">
      <c r="A54" s="216"/>
      <c r="B54" s="217">
        <v>45</v>
      </c>
      <c r="C54" s="218"/>
      <c r="D54" s="205"/>
      <c r="E54" s="205"/>
      <c r="F54" s="205"/>
      <c r="G54" s="205"/>
      <c r="H54" s="205"/>
      <c r="I54" s="205"/>
      <c r="J54" s="205"/>
      <c r="K54" s="205"/>
      <c r="L54" s="219"/>
      <c r="M54" s="219"/>
      <c r="N54" s="220"/>
      <c r="O54" s="144"/>
    </row>
    <row r="55" spans="1:15" hidden="1">
      <c r="A55" s="216"/>
      <c r="B55" s="217">
        <v>46</v>
      </c>
      <c r="C55" s="218"/>
      <c r="D55" s="205"/>
      <c r="E55" s="205"/>
      <c r="F55" s="205"/>
      <c r="G55" s="205"/>
      <c r="H55" s="205"/>
      <c r="I55" s="205"/>
      <c r="J55" s="205"/>
      <c r="K55" s="205"/>
      <c r="L55" s="219"/>
      <c r="M55" s="219"/>
      <c r="N55" s="220"/>
      <c r="O55" s="144"/>
    </row>
    <row r="56" spans="1:15" hidden="1">
      <c r="A56" s="216"/>
      <c r="B56" s="217">
        <v>47</v>
      </c>
      <c r="C56" s="218"/>
      <c r="D56" s="205"/>
      <c r="E56" s="205"/>
      <c r="F56" s="205"/>
      <c r="G56" s="205"/>
      <c r="H56" s="205"/>
      <c r="I56" s="205"/>
      <c r="J56" s="205"/>
      <c r="K56" s="205"/>
      <c r="L56" s="219"/>
      <c r="M56" s="219"/>
      <c r="N56" s="220"/>
      <c r="O56" s="144"/>
    </row>
    <row r="57" spans="1:15" hidden="1">
      <c r="A57" s="216"/>
      <c r="B57" s="217">
        <v>48</v>
      </c>
      <c r="C57" s="218"/>
      <c r="D57" s="205"/>
      <c r="E57" s="205"/>
      <c r="F57" s="205"/>
      <c r="G57" s="205"/>
      <c r="H57" s="205"/>
      <c r="I57" s="205"/>
      <c r="J57" s="205"/>
      <c r="K57" s="205"/>
      <c r="L57" s="219"/>
      <c r="M57" s="219"/>
      <c r="N57" s="220"/>
      <c r="O57" s="144"/>
    </row>
    <row r="58" spans="1:15" hidden="1">
      <c r="A58" s="216"/>
      <c r="B58" s="217">
        <v>49</v>
      </c>
      <c r="C58" s="218"/>
      <c r="D58" s="205"/>
      <c r="E58" s="205"/>
      <c r="F58" s="205"/>
      <c r="G58" s="205"/>
      <c r="H58" s="205"/>
      <c r="I58" s="205"/>
      <c r="J58" s="205"/>
      <c r="K58" s="205"/>
      <c r="L58" s="219"/>
      <c r="M58" s="219"/>
      <c r="N58" s="220"/>
      <c r="O58" s="144"/>
    </row>
    <row r="59" spans="1:15" hidden="1">
      <c r="A59" s="216"/>
      <c r="B59" s="217">
        <v>50</v>
      </c>
      <c r="C59" s="218"/>
      <c r="D59" s="205"/>
      <c r="E59" s="205"/>
      <c r="F59" s="205"/>
      <c r="G59" s="205"/>
      <c r="H59" s="205"/>
      <c r="I59" s="205"/>
      <c r="J59" s="205"/>
      <c r="K59" s="205"/>
      <c r="L59" s="219"/>
      <c r="M59" s="219"/>
      <c r="N59" s="220"/>
      <c r="O59" s="144"/>
    </row>
    <row r="60" spans="1:15" ht="28.5" customHeight="1">
      <c r="B60" s="654" t="s">
        <v>319</v>
      </c>
      <c r="C60" s="655"/>
      <c r="D60" s="221">
        <f t="shared" ref="D60:J60" si="0">SUM(D10:D59)</f>
        <v>0</v>
      </c>
      <c r="E60" s="221">
        <f t="shared" si="0"/>
        <v>0</v>
      </c>
      <c r="F60" s="221">
        <f t="shared" si="0"/>
        <v>0</v>
      </c>
      <c r="G60" s="221">
        <f t="shared" si="0"/>
        <v>0</v>
      </c>
      <c r="H60" s="221">
        <f t="shared" si="0"/>
        <v>0</v>
      </c>
      <c r="I60" s="221">
        <f t="shared" si="0"/>
        <v>0</v>
      </c>
      <c r="J60" s="221">
        <f t="shared" si="0"/>
        <v>0</v>
      </c>
      <c r="K60" s="176"/>
      <c r="L60" s="176"/>
      <c r="M60" s="176"/>
      <c r="N60" s="176"/>
      <c r="O60" s="144"/>
    </row>
    <row r="61" spans="1:15" ht="30" customHeight="1">
      <c r="B61" s="654" t="s">
        <v>320</v>
      </c>
      <c r="C61" s="655"/>
      <c r="D61" s="205"/>
      <c r="E61" s="205"/>
      <c r="F61" s="205"/>
      <c r="G61" s="205"/>
      <c r="H61" s="205"/>
      <c r="I61" s="205"/>
      <c r="J61" s="205"/>
      <c r="K61" s="176"/>
      <c r="L61" s="219"/>
      <c r="M61" s="219"/>
      <c r="N61" s="176"/>
      <c r="O61" s="144"/>
    </row>
    <row r="62" spans="1:15">
      <c r="B62" s="654" t="s">
        <v>321</v>
      </c>
      <c r="C62" s="655"/>
      <c r="D62" s="176"/>
      <c r="E62" s="176"/>
      <c r="F62" s="205"/>
      <c r="G62" s="205"/>
      <c r="H62" s="205"/>
      <c r="I62" s="205"/>
      <c r="J62" s="205"/>
      <c r="K62" s="176"/>
      <c r="L62" s="219"/>
      <c r="M62" s="219"/>
      <c r="N62" s="176"/>
      <c r="O62" s="144"/>
    </row>
    <row r="63" spans="1:15" ht="30" customHeight="1">
      <c r="B63" s="654" t="s">
        <v>357</v>
      </c>
      <c r="C63" s="655"/>
      <c r="D63" s="221">
        <f>SUM(D60:D62)</f>
        <v>0</v>
      </c>
      <c r="E63" s="221">
        <f>SUM(E60:E62)</f>
        <v>0</v>
      </c>
      <c r="F63" s="221">
        <f t="shared" ref="F63:J63" si="1">SUM(F60:F62)</f>
        <v>0</v>
      </c>
      <c r="G63" s="221">
        <f t="shared" si="1"/>
        <v>0</v>
      </c>
      <c r="H63" s="221">
        <f t="shared" si="1"/>
        <v>0</v>
      </c>
      <c r="I63" s="221">
        <f t="shared" si="1"/>
        <v>0</v>
      </c>
      <c r="J63" s="221">
        <f t="shared" si="1"/>
        <v>0</v>
      </c>
      <c r="K63" s="176"/>
      <c r="L63" s="176"/>
      <c r="M63" s="176"/>
      <c r="N63" s="176"/>
      <c r="O63" s="144"/>
    </row>
    <row r="64" spans="1:15" ht="18.75" customHeight="1">
      <c r="B64" s="778" t="s">
        <v>994</v>
      </c>
      <c r="C64" s="778"/>
      <c r="D64" s="778"/>
      <c r="E64" s="778"/>
      <c r="F64" s="778"/>
      <c r="G64" s="778"/>
      <c r="H64" s="778"/>
      <c r="I64" s="778"/>
      <c r="J64" s="778"/>
      <c r="K64" s="778"/>
      <c r="L64" s="132"/>
      <c r="M64" s="132"/>
      <c r="N64" s="132"/>
    </row>
    <row r="65" spans="1:14" ht="18.75" customHeight="1"/>
    <row r="66" spans="1:14" ht="23.25" customHeight="1">
      <c r="B66" s="32" t="s">
        <v>1021</v>
      </c>
      <c r="C66" s="32"/>
      <c r="D66" s="32"/>
      <c r="E66" s="32"/>
      <c r="F66" s="32"/>
      <c r="G66" s="32"/>
      <c r="H66" s="32"/>
      <c r="I66" s="32"/>
      <c r="J66" s="32"/>
      <c r="K66" s="32"/>
      <c r="L66" s="32"/>
      <c r="M66" s="32"/>
      <c r="N66" s="32"/>
    </row>
    <row r="67" spans="1:14" ht="17.25">
      <c r="B67" s="842" t="s">
        <v>325</v>
      </c>
      <c r="C67" s="842"/>
      <c r="D67" s="842"/>
      <c r="E67" s="842"/>
      <c r="F67" s="842"/>
      <c r="G67" s="842"/>
      <c r="H67" s="842"/>
      <c r="I67" s="842"/>
      <c r="J67" s="842"/>
      <c r="K67" s="842"/>
      <c r="M67" s="32"/>
    </row>
    <row r="69" spans="1:14" s="15" customFormat="1" ht="15" hidden="1" customHeight="1">
      <c r="A69" s="6" t="s">
        <v>693</v>
      </c>
      <c r="C69" s="798" t="s">
        <v>323</v>
      </c>
      <c r="D69" s="799"/>
      <c r="E69" s="800" t="str">
        <f>IF(C10="","",C10)</f>
        <v/>
      </c>
      <c r="F69" s="801"/>
      <c r="G69" s="801"/>
      <c r="H69" s="801"/>
      <c r="I69" s="801"/>
      <c r="J69" s="654" t="s">
        <v>322</v>
      </c>
      <c r="K69" s="655"/>
      <c r="L69" s="802">
        <f>D10</f>
        <v>0</v>
      </c>
      <c r="M69" s="803"/>
      <c r="N69" s="222"/>
    </row>
    <row r="70" spans="1:14" ht="45" hidden="1" customHeight="1">
      <c r="C70" s="654" t="s">
        <v>995</v>
      </c>
      <c r="D70" s="655"/>
      <c r="E70" s="808"/>
      <c r="F70" s="809"/>
      <c r="G70" s="809"/>
      <c r="H70" s="809"/>
      <c r="I70" s="809"/>
      <c r="J70" s="809"/>
      <c r="K70" s="809"/>
      <c r="L70" s="809"/>
      <c r="M70" s="809"/>
      <c r="N70" s="144"/>
    </row>
    <row r="71" spans="1:14" ht="60" hidden="1"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11"/>
      <c r="E71" s="398" t="s">
        <v>240</v>
      </c>
      <c r="F71" s="632"/>
      <c r="G71" s="633"/>
      <c r="H71" s="633"/>
      <c r="I71" s="633"/>
      <c r="J71" s="633"/>
      <c r="K71" s="633"/>
      <c r="L71" s="633"/>
      <c r="M71" s="724"/>
      <c r="N71" s="144"/>
    </row>
    <row r="72" spans="1:14" ht="15" hidden="1"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hidden="1" customHeight="1">
      <c r="C73" s="826"/>
      <c r="D73" s="827"/>
      <c r="E73" s="411"/>
      <c r="F73" s="411"/>
      <c r="G73" s="411"/>
      <c r="H73" s="411"/>
      <c r="I73" s="411"/>
      <c r="J73" s="411"/>
      <c r="K73" s="411"/>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45" hidden="1"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20"/>
      <c r="F81" s="809"/>
      <c r="G81" s="809"/>
      <c r="H81" s="809"/>
      <c r="I81" s="809"/>
      <c r="J81" s="809"/>
      <c r="K81" s="809"/>
      <c r="L81" s="809"/>
      <c r="M81" s="809"/>
      <c r="N81" s="144"/>
    </row>
    <row r="82" spans="1:14" hidden="1">
      <c r="C82" s="654" t="s">
        <v>996</v>
      </c>
      <c r="D82" s="655"/>
      <c r="E82" s="189" t="s">
        <v>240</v>
      </c>
      <c r="F82" s="806"/>
      <c r="G82" s="807"/>
      <c r="H82" s="807"/>
      <c r="I82" s="807"/>
      <c r="J82" s="807"/>
      <c r="K82" s="807"/>
      <c r="L82" s="807"/>
      <c r="M82" s="807"/>
      <c r="N82" s="144"/>
    </row>
    <row r="83" spans="1:14" hidden="1">
      <c r="C83" s="654" t="s">
        <v>326</v>
      </c>
      <c r="D83" s="655"/>
      <c r="E83" s="189" t="s">
        <v>240</v>
      </c>
      <c r="F83" s="806"/>
      <c r="G83" s="807"/>
      <c r="H83" s="807"/>
      <c r="I83" s="807"/>
      <c r="J83" s="807"/>
      <c r="K83" s="807"/>
      <c r="L83" s="807"/>
      <c r="M83" s="807"/>
      <c r="N83" s="144"/>
    </row>
    <row r="84" spans="1:14" hidden="1">
      <c r="C84" s="804" t="s">
        <v>997</v>
      </c>
      <c r="D84" s="805"/>
      <c r="E84" s="189" t="s">
        <v>240</v>
      </c>
      <c r="F84" s="806"/>
      <c r="G84" s="807"/>
      <c r="H84" s="807"/>
      <c r="I84" s="807"/>
      <c r="J84" s="807"/>
      <c r="K84" s="807"/>
      <c r="L84" s="807"/>
      <c r="M84" s="807"/>
      <c r="N84" s="144"/>
    </row>
    <row r="85" spans="1:14" ht="30" hidden="1" customHeight="1">
      <c r="C85" s="804" t="s">
        <v>327</v>
      </c>
      <c r="D85" s="805"/>
      <c r="E85" s="189" t="s">
        <v>240</v>
      </c>
      <c r="F85" s="806"/>
      <c r="G85" s="807"/>
      <c r="H85" s="807"/>
      <c r="I85" s="807"/>
      <c r="J85" s="807"/>
      <c r="K85" s="807"/>
      <c r="L85" s="807"/>
      <c r="M85" s="807"/>
      <c r="N85" s="181"/>
    </row>
    <row r="86" spans="1:14" ht="9" hidden="1" customHeight="1">
      <c r="C86" s="132"/>
      <c r="D86" s="132"/>
      <c r="E86" s="132"/>
      <c r="F86" s="132"/>
      <c r="G86" s="132"/>
      <c r="H86" s="132"/>
      <c r="I86" s="132"/>
      <c r="J86" s="132"/>
      <c r="K86" s="132"/>
      <c r="L86" s="132"/>
      <c r="M86" s="132"/>
    </row>
    <row r="87" spans="1:14" hidden="1">
      <c r="B87"/>
      <c r="C87"/>
      <c r="D87"/>
      <c r="E87"/>
      <c r="F87"/>
      <c r="G87"/>
      <c r="H87"/>
      <c r="I87"/>
      <c r="J87"/>
      <c r="K87"/>
      <c r="L87"/>
      <c r="M87"/>
    </row>
    <row r="88" spans="1:14" s="15" customFormat="1" ht="15" hidden="1" customHeight="1">
      <c r="A88" s="6" t="s">
        <v>693</v>
      </c>
      <c r="C88" s="798" t="s">
        <v>644</v>
      </c>
      <c r="D88" s="799"/>
      <c r="E88" s="800" t="str">
        <f>IF(C11="","",C11)</f>
        <v/>
      </c>
      <c r="F88" s="801"/>
      <c r="G88" s="801"/>
      <c r="H88" s="801"/>
      <c r="I88" s="801"/>
      <c r="J88" s="654" t="s">
        <v>322</v>
      </c>
      <c r="K88" s="655"/>
      <c r="L88" s="802">
        <f>D11</f>
        <v>0</v>
      </c>
      <c r="M88" s="803"/>
      <c r="N88" s="222"/>
    </row>
    <row r="89" spans="1:14" ht="45" hidden="1" customHeight="1">
      <c r="C89" s="654" t="s">
        <v>995</v>
      </c>
      <c r="D89" s="655"/>
      <c r="E89" s="808"/>
      <c r="F89" s="809"/>
      <c r="G89" s="809"/>
      <c r="H89" s="809"/>
      <c r="I89" s="809"/>
      <c r="J89" s="809"/>
      <c r="K89" s="809"/>
      <c r="L89" s="809"/>
      <c r="M89" s="809"/>
      <c r="N89" s="144"/>
    </row>
    <row r="90" spans="1:14" ht="60" hidden="1"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1"/>
      <c r="E90" s="398" t="s">
        <v>240</v>
      </c>
      <c r="F90" s="632"/>
      <c r="G90" s="633"/>
      <c r="H90" s="633"/>
      <c r="I90" s="633"/>
      <c r="J90" s="633"/>
      <c r="K90" s="633"/>
      <c r="L90" s="633"/>
      <c r="M90" s="724"/>
      <c r="N90" s="144"/>
    </row>
    <row r="91" spans="1:14" ht="15" hidden="1"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hidden="1" customHeight="1">
      <c r="C92" s="826"/>
      <c r="D92" s="827"/>
      <c r="E92" s="411"/>
      <c r="F92" s="411"/>
      <c r="G92" s="411"/>
      <c r="H92" s="411"/>
      <c r="I92" s="411"/>
      <c r="J92" s="411"/>
      <c r="K92" s="411"/>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45" hidden="1"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20"/>
      <c r="F100" s="809"/>
      <c r="G100" s="809"/>
      <c r="H100" s="809"/>
      <c r="I100" s="809"/>
      <c r="J100" s="809"/>
      <c r="K100" s="809"/>
      <c r="L100" s="809"/>
      <c r="M100" s="809"/>
      <c r="N100" s="144"/>
    </row>
    <row r="101" spans="1:14" hidden="1">
      <c r="C101" s="654" t="s">
        <v>996</v>
      </c>
      <c r="D101" s="655"/>
      <c r="E101" s="189" t="s">
        <v>240</v>
      </c>
      <c r="F101" s="806"/>
      <c r="G101" s="807"/>
      <c r="H101" s="807"/>
      <c r="I101" s="807"/>
      <c r="J101" s="807"/>
      <c r="K101" s="807"/>
      <c r="L101" s="807"/>
      <c r="M101" s="807"/>
      <c r="N101" s="144"/>
    </row>
    <row r="102" spans="1:14" hidden="1">
      <c r="C102" s="654" t="s">
        <v>326</v>
      </c>
      <c r="D102" s="655"/>
      <c r="E102" s="189" t="s">
        <v>240</v>
      </c>
      <c r="F102" s="806"/>
      <c r="G102" s="807"/>
      <c r="H102" s="807"/>
      <c r="I102" s="807"/>
      <c r="J102" s="807"/>
      <c r="K102" s="807"/>
      <c r="L102" s="807"/>
      <c r="M102" s="807"/>
      <c r="N102" s="144"/>
    </row>
    <row r="103" spans="1:14" ht="15" hidden="1" customHeight="1">
      <c r="C103" s="804" t="s">
        <v>997</v>
      </c>
      <c r="D103" s="805"/>
      <c r="E103" s="189" t="s">
        <v>240</v>
      </c>
      <c r="F103" s="806"/>
      <c r="G103" s="807"/>
      <c r="H103" s="807"/>
      <c r="I103" s="807"/>
      <c r="J103" s="807"/>
      <c r="K103" s="807"/>
      <c r="L103" s="807"/>
      <c r="M103" s="807"/>
      <c r="N103" s="144"/>
    </row>
    <row r="104" spans="1:14" ht="30" hidden="1" customHeight="1">
      <c r="C104" s="804" t="s">
        <v>327</v>
      </c>
      <c r="D104" s="805"/>
      <c r="E104" s="189" t="s">
        <v>240</v>
      </c>
      <c r="F104" s="806"/>
      <c r="G104" s="807"/>
      <c r="H104" s="807"/>
      <c r="I104" s="807"/>
      <c r="J104" s="807"/>
      <c r="K104" s="807"/>
      <c r="L104" s="807"/>
      <c r="M104" s="807"/>
      <c r="N104" s="181"/>
    </row>
    <row r="105" spans="1:14" ht="9" hidden="1" customHeight="1">
      <c r="C105" s="132"/>
      <c r="D105" s="132"/>
      <c r="E105" s="132"/>
      <c r="F105" s="132"/>
      <c r="G105" s="132"/>
      <c r="H105" s="132"/>
      <c r="I105" s="132"/>
      <c r="J105" s="132"/>
      <c r="K105" s="132"/>
      <c r="L105" s="132"/>
      <c r="M105" s="132"/>
    </row>
    <row r="106" spans="1:14" hidden="1">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8" spans="2:15" hidden="1"/>
    <row r="1019" spans="2:15" ht="17.25">
      <c r="B1019" s="32" t="s">
        <v>1022</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1674</v>
      </c>
      <c r="C1021" s="32"/>
      <c r="D1021" s="32"/>
      <c r="E1021" s="32"/>
      <c r="F1021" s="32"/>
      <c r="G1021" s="32"/>
      <c r="H1021" s="32"/>
      <c r="I1021" s="32"/>
      <c r="J1021" s="32"/>
      <c r="K1021" s="32"/>
      <c r="L1021" s="32"/>
      <c r="M1021" s="32"/>
      <c r="N1021" s="32"/>
    </row>
    <row r="1022" spans="2:15" ht="15" customHeight="1"/>
    <row r="1023" spans="2:15" ht="99.75" customHeight="1">
      <c r="B1023" s="758"/>
      <c r="C1023" s="759"/>
      <c r="D1023" s="759"/>
      <c r="E1023" s="759"/>
      <c r="F1023" s="759"/>
      <c r="G1023" s="759"/>
      <c r="H1023" s="759"/>
      <c r="I1023" s="759"/>
      <c r="J1023" s="759"/>
      <c r="K1023" s="759"/>
      <c r="L1023" s="759"/>
      <c r="M1023" s="759"/>
      <c r="N1023" s="768"/>
      <c r="O1023" s="144"/>
    </row>
    <row r="1024" spans="2:15" ht="17.25">
      <c r="B1024" s="32"/>
      <c r="C1024" s="32"/>
      <c r="D1024" s="32"/>
      <c r="E1024" s="32"/>
      <c r="F1024" s="32"/>
      <c r="G1024" s="32"/>
      <c r="H1024" s="32"/>
      <c r="I1024" s="32"/>
      <c r="J1024" s="32"/>
      <c r="K1024" s="32"/>
      <c r="L1024" s="32"/>
      <c r="M1024" s="32"/>
      <c r="N1024" s="32"/>
    </row>
    <row r="1025" spans="2:14" ht="17.25">
      <c r="B1025" s="50" t="s">
        <v>1675</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857" t="s">
        <v>1667</v>
      </c>
      <c r="E1027" s="857"/>
      <c r="F1027" s="857"/>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313">
        <v>2020</v>
      </c>
      <c r="G1030" s="313">
        <v>2021</v>
      </c>
      <c r="H1030" s="313">
        <v>2022</v>
      </c>
      <c r="I1030" s="313">
        <v>2023</v>
      </c>
      <c r="J1030" s="313">
        <v>2024</v>
      </c>
      <c r="K1030" s="795"/>
      <c r="L1030" s="796"/>
      <c r="M1030" s="796"/>
      <c r="N1030" s="797"/>
    </row>
    <row r="1031" spans="2:14" hidden="1">
      <c r="B1031" s="403">
        <v>1</v>
      </c>
      <c r="C1031" s="401"/>
      <c r="D1031" s="205"/>
      <c r="E1031" s="205"/>
      <c r="F1031" s="402"/>
      <c r="G1031" s="402"/>
      <c r="H1031" s="402"/>
      <c r="I1031" s="402"/>
      <c r="J1031" s="402"/>
      <c r="K1031" s="790"/>
      <c r="L1031" s="791"/>
      <c r="M1031" s="791"/>
      <c r="N1031" s="792"/>
    </row>
    <row r="1032" spans="2:14" hidden="1">
      <c r="B1032" s="403">
        <v>2</v>
      </c>
      <c r="C1032" s="401"/>
      <c r="D1032" s="205"/>
      <c r="E1032" s="205"/>
      <c r="F1032" s="402"/>
      <c r="G1032" s="402"/>
      <c r="H1032" s="402"/>
      <c r="I1032" s="402"/>
      <c r="J1032" s="402"/>
      <c r="K1032" s="790"/>
      <c r="L1032" s="791"/>
      <c r="M1032" s="791"/>
      <c r="N1032" s="792"/>
    </row>
    <row r="1033" spans="2:14" hidden="1">
      <c r="B1033" s="403">
        <v>3</v>
      </c>
      <c r="C1033" s="401"/>
      <c r="D1033" s="205"/>
      <c r="E1033" s="205"/>
      <c r="F1033" s="402"/>
      <c r="G1033" s="402"/>
      <c r="H1033" s="402"/>
      <c r="I1033" s="402"/>
      <c r="J1033" s="402"/>
      <c r="K1033" s="790"/>
      <c r="L1033" s="791"/>
      <c r="M1033" s="791"/>
      <c r="N1033" s="792"/>
    </row>
    <row r="1034" spans="2:14" hidden="1">
      <c r="B1034" s="403">
        <v>4</v>
      </c>
      <c r="C1034" s="401"/>
      <c r="D1034" s="205"/>
      <c r="E1034" s="205"/>
      <c r="F1034" s="402"/>
      <c r="G1034" s="402"/>
      <c r="H1034" s="402"/>
      <c r="I1034" s="402"/>
      <c r="J1034" s="402"/>
      <c r="K1034" s="790"/>
      <c r="L1034" s="791"/>
      <c r="M1034" s="791"/>
      <c r="N1034" s="792"/>
    </row>
    <row r="1035" spans="2:14" hidden="1">
      <c r="B1035" s="403">
        <v>5</v>
      </c>
      <c r="C1035" s="401"/>
      <c r="D1035" s="205"/>
      <c r="E1035" s="205"/>
      <c r="F1035" s="402"/>
      <c r="G1035" s="402"/>
      <c r="H1035" s="402"/>
      <c r="I1035" s="402"/>
      <c r="J1035" s="402"/>
      <c r="K1035" s="790"/>
      <c r="L1035" s="791"/>
      <c r="M1035" s="791"/>
      <c r="N1035" s="792"/>
    </row>
    <row r="1036" spans="2:14" hidden="1">
      <c r="B1036" s="403">
        <v>6</v>
      </c>
      <c r="C1036" s="401"/>
      <c r="D1036" s="205"/>
      <c r="E1036" s="205"/>
      <c r="F1036" s="402"/>
      <c r="G1036" s="402"/>
      <c r="H1036" s="402"/>
      <c r="I1036" s="402"/>
      <c r="J1036" s="402"/>
      <c r="K1036" s="790"/>
      <c r="L1036" s="791"/>
      <c r="M1036" s="791"/>
      <c r="N1036" s="792"/>
    </row>
    <row r="1037" spans="2:14" hidden="1">
      <c r="B1037" s="403">
        <v>7</v>
      </c>
      <c r="C1037" s="401"/>
      <c r="D1037" s="205"/>
      <c r="E1037" s="205"/>
      <c r="F1037" s="402"/>
      <c r="G1037" s="402"/>
      <c r="H1037" s="402"/>
      <c r="I1037" s="402"/>
      <c r="J1037" s="402"/>
      <c r="K1037" s="790"/>
      <c r="L1037" s="791"/>
      <c r="M1037" s="791"/>
      <c r="N1037" s="792"/>
    </row>
    <row r="1038" spans="2:14" hidden="1">
      <c r="B1038" s="403">
        <v>8</v>
      </c>
      <c r="C1038" s="401"/>
      <c r="D1038" s="205"/>
      <c r="E1038" s="205"/>
      <c r="F1038" s="402"/>
      <c r="G1038" s="402"/>
      <c r="H1038" s="402"/>
      <c r="I1038" s="402"/>
      <c r="J1038" s="402"/>
      <c r="K1038" s="790"/>
      <c r="L1038" s="791"/>
      <c r="M1038" s="791"/>
      <c r="N1038" s="792"/>
    </row>
    <row r="1039" spans="2:14" hidden="1">
      <c r="B1039" s="403">
        <v>9</v>
      </c>
      <c r="C1039" s="401"/>
      <c r="D1039" s="205"/>
      <c r="E1039" s="205"/>
      <c r="F1039" s="402"/>
      <c r="G1039" s="402"/>
      <c r="H1039" s="402"/>
      <c r="I1039" s="402"/>
      <c r="J1039" s="402"/>
      <c r="K1039" s="790"/>
      <c r="L1039" s="791"/>
      <c r="M1039" s="791"/>
      <c r="N1039" s="792"/>
    </row>
    <row r="1040" spans="2:14" hidden="1">
      <c r="B1040" s="403">
        <v>10</v>
      </c>
      <c r="C1040" s="401"/>
      <c r="D1040" s="205"/>
      <c r="E1040" s="205"/>
      <c r="F1040" s="402"/>
      <c r="G1040" s="402"/>
      <c r="H1040" s="402"/>
      <c r="I1040" s="402"/>
      <c r="J1040" s="402"/>
      <c r="K1040" s="790"/>
      <c r="L1040" s="791"/>
      <c r="M1040" s="791"/>
      <c r="N1040" s="792"/>
    </row>
    <row r="1041" spans="2:14" hidden="1">
      <c r="B1041" s="403">
        <v>11</v>
      </c>
      <c r="C1041" s="401"/>
      <c r="D1041" s="205"/>
      <c r="E1041" s="205"/>
      <c r="F1041" s="402"/>
      <c r="G1041" s="402"/>
      <c r="H1041" s="402"/>
      <c r="I1041" s="402"/>
      <c r="J1041" s="402"/>
      <c r="K1041" s="790"/>
      <c r="L1041" s="791"/>
      <c r="M1041" s="791"/>
      <c r="N1041" s="792"/>
    </row>
    <row r="1042" spans="2:14" hidden="1">
      <c r="B1042" s="403">
        <v>12</v>
      </c>
      <c r="C1042" s="401"/>
      <c r="D1042" s="205"/>
      <c r="E1042" s="205"/>
      <c r="F1042" s="402"/>
      <c r="G1042" s="402"/>
      <c r="H1042" s="402"/>
      <c r="I1042" s="402"/>
      <c r="J1042" s="402"/>
      <c r="K1042" s="790"/>
      <c r="L1042" s="791"/>
      <c r="M1042" s="791"/>
      <c r="N1042" s="792"/>
    </row>
    <row r="1043" spans="2:14" hidden="1">
      <c r="B1043" s="403">
        <v>13</v>
      </c>
      <c r="C1043" s="401"/>
      <c r="D1043" s="205"/>
      <c r="E1043" s="205"/>
      <c r="F1043" s="402"/>
      <c r="G1043" s="402"/>
      <c r="H1043" s="402"/>
      <c r="I1043" s="402"/>
      <c r="J1043" s="402"/>
      <c r="K1043" s="790"/>
      <c r="L1043" s="791"/>
      <c r="M1043" s="791"/>
      <c r="N1043" s="792"/>
    </row>
    <row r="1044" spans="2:14" hidden="1">
      <c r="B1044" s="403">
        <v>14</v>
      </c>
      <c r="C1044" s="401"/>
      <c r="D1044" s="205"/>
      <c r="E1044" s="205"/>
      <c r="F1044" s="402"/>
      <c r="G1044" s="402"/>
      <c r="H1044" s="402"/>
      <c r="I1044" s="402"/>
      <c r="J1044" s="402"/>
      <c r="K1044" s="790"/>
      <c r="L1044" s="791"/>
      <c r="M1044" s="791"/>
      <c r="N1044" s="792"/>
    </row>
    <row r="1045" spans="2:14" hidden="1">
      <c r="B1045" s="403">
        <v>15</v>
      </c>
      <c r="C1045" s="401"/>
      <c r="D1045" s="205"/>
      <c r="E1045" s="205"/>
      <c r="F1045" s="402"/>
      <c r="G1045" s="402"/>
      <c r="H1045" s="402"/>
      <c r="I1045" s="402"/>
      <c r="J1045" s="402"/>
      <c r="K1045" s="790"/>
      <c r="L1045" s="791"/>
      <c r="M1045" s="791"/>
      <c r="N1045" s="792"/>
    </row>
    <row r="1046" spans="2:14" hidden="1">
      <c r="B1046" s="403">
        <v>16</v>
      </c>
      <c r="C1046" s="401"/>
      <c r="D1046" s="205"/>
      <c r="E1046" s="205"/>
      <c r="F1046" s="402"/>
      <c r="G1046" s="402"/>
      <c r="H1046" s="402"/>
      <c r="I1046" s="402"/>
      <c r="J1046" s="402"/>
      <c r="K1046" s="790"/>
      <c r="L1046" s="791"/>
      <c r="M1046" s="791"/>
      <c r="N1046" s="792"/>
    </row>
    <row r="1047" spans="2:14" hidden="1">
      <c r="B1047" s="403">
        <v>17</v>
      </c>
      <c r="C1047" s="401"/>
      <c r="D1047" s="205"/>
      <c r="E1047" s="205"/>
      <c r="F1047" s="402"/>
      <c r="G1047" s="402"/>
      <c r="H1047" s="402"/>
      <c r="I1047" s="402"/>
      <c r="J1047" s="402"/>
      <c r="K1047" s="790"/>
      <c r="L1047" s="791"/>
      <c r="M1047" s="791"/>
      <c r="N1047" s="792"/>
    </row>
    <row r="1048" spans="2:14" hidden="1">
      <c r="B1048" s="403">
        <v>18</v>
      </c>
      <c r="C1048" s="401"/>
      <c r="D1048" s="205"/>
      <c r="E1048" s="205"/>
      <c r="F1048" s="402"/>
      <c r="G1048" s="402"/>
      <c r="H1048" s="402"/>
      <c r="I1048" s="402"/>
      <c r="J1048" s="402"/>
      <c r="K1048" s="790"/>
      <c r="L1048" s="791"/>
      <c r="M1048" s="791"/>
      <c r="N1048" s="792"/>
    </row>
    <row r="1049" spans="2:14" hidden="1">
      <c r="B1049" s="403">
        <v>19</v>
      </c>
      <c r="C1049" s="401"/>
      <c r="D1049" s="205"/>
      <c r="E1049" s="205"/>
      <c r="F1049" s="402"/>
      <c r="G1049" s="402"/>
      <c r="H1049" s="402"/>
      <c r="I1049" s="402"/>
      <c r="J1049" s="402"/>
      <c r="K1049" s="790"/>
      <c r="L1049" s="791"/>
      <c r="M1049" s="791"/>
      <c r="N1049" s="792"/>
    </row>
    <row r="1050" spans="2:14" hidden="1">
      <c r="B1050" s="403">
        <v>20</v>
      </c>
      <c r="C1050" s="401"/>
      <c r="D1050" s="404"/>
      <c r="E1050" s="402"/>
      <c r="F1050" s="402"/>
      <c r="G1050" s="402"/>
      <c r="H1050" s="402"/>
      <c r="I1050" s="402"/>
      <c r="J1050" s="402"/>
      <c r="K1050" s="790"/>
      <c r="L1050" s="791"/>
      <c r="M1050" s="791"/>
      <c r="N1050" s="792"/>
    </row>
    <row r="1051" spans="2:14" ht="15" customHeight="1">
      <c r="B1051" s="132"/>
      <c r="C1051" s="132"/>
      <c r="D1051" s="132"/>
      <c r="E1051" s="132"/>
      <c r="F1051" s="132"/>
      <c r="G1051" s="132"/>
      <c r="H1051" s="132"/>
      <c r="I1051" s="132"/>
      <c r="J1051" s="132"/>
      <c r="K1051" s="132"/>
      <c r="L1051" s="132"/>
      <c r="M1051" s="132"/>
      <c r="N1051" s="132"/>
    </row>
    <row r="1052" spans="2:14" ht="15" customHeight="1">
      <c r="F1052" s="455"/>
      <c r="G1052" s="455"/>
      <c r="H1052" s="455"/>
      <c r="I1052" s="455"/>
      <c r="J1052" s="455"/>
      <c r="K1052" s="455"/>
      <c r="L1052" s="455"/>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147" priority="54">
      <formula>$A$2="PRINT"</formula>
    </cfRule>
  </conditionalFormatting>
  <conditionalFormatting sqref="E71">
    <cfRule type="expression" dxfId="1146" priority="53">
      <formula>$A$2="PRINT"</formula>
    </cfRule>
  </conditionalFormatting>
  <conditionalFormatting sqref="E90">
    <cfRule type="expression" dxfId="1145" priority="52">
      <formula>$A$2="PRINT"</formula>
    </cfRule>
  </conditionalFormatting>
  <conditionalFormatting sqref="E109">
    <cfRule type="expression" dxfId="1144" priority="51">
      <formula>$A$2="PRINT"</formula>
    </cfRule>
  </conditionalFormatting>
  <conditionalFormatting sqref="E128">
    <cfRule type="expression" dxfId="1143" priority="50">
      <formula>$A$2="PRINT"</formula>
    </cfRule>
  </conditionalFormatting>
  <conditionalFormatting sqref="E147">
    <cfRule type="expression" dxfId="1142" priority="49">
      <formula>$A$2="PRINT"</formula>
    </cfRule>
  </conditionalFormatting>
  <conditionalFormatting sqref="E166">
    <cfRule type="expression" dxfId="1141" priority="48">
      <formula>$A$2="PRINT"</formula>
    </cfRule>
  </conditionalFormatting>
  <conditionalFormatting sqref="E185">
    <cfRule type="expression" dxfId="1140" priority="47">
      <formula>$A$2="PRINT"</formula>
    </cfRule>
  </conditionalFormatting>
  <conditionalFormatting sqref="E204">
    <cfRule type="expression" dxfId="1139" priority="46">
      <formula>$A$2="PRINT"</formula>
    </cfRule>
  </conditionalFormatting>
  <conditionalFormatting sqref="E223">
    <cfRule type="expression" dxfId="1138" priority="45">
      <formula>$A$2="PRINT"</formula>
    </cfRule>
  </conditionalFormatting>
  <conditionalFormatting sqref="E242">
    <cfRule type="expression" dxfId="1137" priority="44">
      <formula>$A$2="PRINT"</formula>
    </cfRule>
  </conditionalFormatting>
  <conditionalFormatting sqref="E261">
    <cfRule type="expression" dxfId="1136" priority="43">
      <formula>$A$2="PRINT"</formula>
    </cfRule>
  </conditionalFormatting>
  <conditionalFormatting sqref="E280">
    <cfRule type="expression" dxfId="1135" priority="42">
      <formula>$A$2="PRINT"</formula>
    </cfRule>
  </conditionalFormatting>
  <conditionalFormatting sqref="E299">
    <cfRule type="expression" dxfId="1134" priority="41">
      <formula>$A$2="PRINT"</formula>
    </cfRule>
  </conditionalFormatting>
  <conditionalFormatting sqref="E318">
    <cfRule type="expression" dxfId="1133" priority="40">
      <formula>$A$2="PRINT"</formula>
    </cfRule>
  </conditionalFormatting>
  <conditionalFormatting sqref="E337">
    <cfRule type="expression" dxfId="1132" priority="39">
      <formula>$A$2="PRINT"</formula>
    </cfRule>
  </conditionalFormatting>
  <conditionalFormatting sqref="E356">
    <cfRule type="expression" dxfId="1131" priority="38">
      <formula>$A$2="PRINT"</formula>
    </cfRule>
  </conditionalFormatting>
  <conditionalFormatting sqref="E375">
    <cfRule type="expression" dxfId="1130" priority="37">
      <formula>$A$2="PRINT"</formula>
    </cfRule>
  </conditionalFormatting>
  <conditionalFormatting sqref="E394">
    <cfRule type="expression" dxfId="1129" priority="36">
      <formula>$A$2="PRINT"</formula>
    </cfRule>
  </conditionalFormatting>
  <conditionalFormatting sqref="E413">
    <cfRule type="expression" dxfId="1128" priority="35">
      <formula>$A$2="PRINT"</formula>
    </cfRule>
  </conditionalFormatting>
  <conditionalFormatting sqref="E432">
    <cfRule type="expression" dxfId="1127" priority="34">
      <formula>$A$2="PRINT"</formula>
    </cfRule>
  </conditionalFormatting>
  <conditionalFormatting sqref="E451">
    <cfRule type="expression" dxfId="1126" priority="33">
      <formula>$A$2="PRINT"</formula>
    </cfRule>
  </conditionalFormatting>
  <conditionalFormatting sqref="E470">
    <cfRule type="expression" dxfId="1125" priority="32">
      <formula>$A$2="PRINT"</formula>
    </cfRule>
  </conditionalFormatting>
  <conditionalFormatting sqref="E489">
    <cfRule type="expression" dxfId="1124" priority="31">
      <formula>$A$2="PRINT"</formula>
    </cfRule>
  </conditionalFormatting>
  <conditionalFormatting sqref="E508">
    <cfRule type="expression" dxfId="1123" priority="30">
      <formula>$A$2="PRINT"</formula>
    </cfRule>
  </conditionalFormatting>
  <conditionalFormatting sqref="E527">
    <cfRule type="expression" dxfId="1122" priority="29">
      <formula>$A$2="PRINT"</formula>
    </cfRule>
  </conditionalFormatting>
  <conditionalFormatting sqref="E546">
    <cfRule type="expression" dxfId="1121" priority="28">
      <formula>$A$2="PRINT"</formula>
    </cfRule>
  </conditionalFormatting>
  <conditionalFormatting sqref="E565">
    <cfRule type="expression" dxfId="1120" priority="27">
      <formula>$A$2="PRINT"</formula>
    </cfRule>
  </conditionalFormatting>
  <conditionalFormatting sqref="E584">
    <cfRule type="expression" dxfId="1119" priority="26">
      <formula>$A$2="PRINT"</formula>
    </cfRule>
  </conditionalFormatting>
  <conditionalFormatting sqref="E603">
    <cfRule type="expression" dxfId="1118" priority="25">
      <formula>$A$2="PRINT"</formula>
    </cfRule>
  </conditionalFormatting>
  <conditionalFormatting sqref="E622">
    <cfRule type="expression" dxfId="1117" priority="24">
      <formula>$A$2="PRINT"</formula>
    </cfRule>
  </conditionalFormatting>
  <conditionalFormatting sqref="E641">
    <cfRule type="expression" dxfId="1116" priority="23">
      <formula>$A$2="PRINT"</formula>
    </cfRule>
  </conditionalFormatting>
  <conditionalFormatting sqref="E660">
    <cfRule type="expression" dxfId="1115" priority="22">
      <formula>$A$2="PRINT"</formula>
    </cfRule>
  </conditionalFormatting>
  <conditionalFormatting sqref="E679">
    <cfRule type="expression" dxfId="1114" priority="21">
      <formula>$A$2="PRINT"</formula>
    </cfRule>
  </conditionalFormatting>
  <conditionalFormatting sqref="E698">
    <cfRule type="expression" dxfId="1113" priority="20">
      <formula>$A$2="PRINT"</formula>
    </cfRule>
  </conditionalFormatting>
  <conditionalFormatting sqref="E717">
    <cfRule type="expression" dxfId="1112" priority="19">
      <formula>$A$2="PRINT"</formula>
    </cfRule>
  </conditionalFormatting>
  <conditionalFormatting sqref="E736">
    <cfRule type="expression" dxfId="1111" priority="18">
      <formula>$A$2="PRINT"</formula>
    </cfRule>
  </conditionalFormatting>
  <conditionalFormatting sqref="E755">
    <cfRule type="expression" dxfId="1110" priority="17">
      <formula>$A$2="PRINT"</formula>
    </cfRule>
  </conditionalFormatting>
  <conditionalFormatting sqref="E774">
    <cfRule type="expression" dxfId="1109" priority="16">
      <formula>$A$2="PRINT"</formula>
    </cfRule>
  </conditionalFormatting>
  <conditionalFormatting sqref="E793">
    <cfRule type="expression" dxfId="1108" priority="15">
      <formula>$A$2="PRINT"</formula>
    </cfRule>
  </conditionalFormatting>
  <conditionalFormatting sqref="E812">
    <cfRule type="expression" dxfId="1107" priority="14">
      <formula>$A$2="PRINT"</formula>
    </cfRule>
  </conditionalFormatting>
  <conditionalFormatting sqref="E831">
    <cfRule type="expression" dxfId="1106" priority="13">
      <formula>$A$2="PRINT"</formula>
    </cfRule>
  </conditionalFormatting>
  <conditionalFormatting sqref="E850">
    <cfRule type="expression" dxfId="1105" priority="12">
      <formula>$A$2="PRINT"</formula>
    </cfRule>
  </conditionalFormatting>
  <conditionalFormatting sqref="E869">
    <cfRule type="expression" dxfId="1104" priority="11">
      <formula>$A$2="PRINT"</formula>
    </cfRule>
  </conditionalFormatting>
  <conditionalFormatting sqref="E888">
    <cfRule type="expression" dxfId="1103" priority="10">
      <formula>$A$2="PRINT"</formula>
    </cfRule>
  </conditionalFormatting>
  <conditionalFormatting sqref="E907">
    <cfRule type="expression" dxfId="1102" priority="9">
      <formula>$A$2="PRINT"</formula>
    </cfRule>
  </conditionalFormatting>
  <conditionalFormatting sqref="E926">
    <cfRule type="expression" dxfId="1101" priority="8">
      <formula>$A$2="PRINT"</formula>
    </cfRule>
  </conditionalFormatting>
  <conditionalFormatting sqref="E945">
    <cfRule type="expression" dxfId="1100" priority="7">
      <formula>$A$2="PRINT"</formula>
    </cfRule>
  </conditionalFormatting>
  <conditionalFormatting sqref="E964">
    <cfRule type="expression" dxfId="1099" priority="6">
      <formula>$A$2="PRINT"</formula>
    </cfRule>
  </conditionalFormatting>
  <conditionalFormatting sqref="E983">
    <cfRule type="expression" dxfId="1098" priority="5">
      <formula>$A$2="PRINT"</formula>
    </cfRule>
  </conditionalFormatting>
  <conditionalFormatting sqref="E1002">
    <cfRule type="expression" dxfId="1097" priority="4">
      <formula>$A$2="PRINT"</formula>
    </cfRule>
  </conditionalFormatting>
  <conditionalFormatting sqref="B1031 B1033 B1035 B1037 B1039 B1041 B1043 B1045 B1047 B1049:B1050">
    <cfRule type="expression" dxfId="1096" priority="3">
      <formula>$A$2="PRINT"</formula>
    </cfRule>
  </conditionalFormatting>
  <conditionalFormatting sqref="B1032 B1034 B1036 B1038 B1040 B1042 B1044 B1046 B1048">
    <cfRule type="expression" dxfId="1095" priority="2">
      <formula>$A$2="PRINT"</formula>
    </cfRule>
  </conditionalFormatting>
  <conditionalFormatting sqref="D1027:F1027">
    <cfRule type="expression" dxfId="1094"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1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1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100-000002000000}">
      <formula1>"Click to select,PCP,Master Plan (non-PCP)"</formula1>
    </dataValidation>
    <dataValidation type="list" allowBlank="1" showErrorMessage="1" sqref="D6:F6" xr:uid="{00000000-0002-0000-1100-000003000000}">
      <formula1>"Click to select number of new major investments,0,1,2,3,4,5,6,7,8,9,10,11,12,13,14,15,16,17,18,19,20,21,22,23,24,25,26,27,28,29,30,31,32,33,34,35,36,37,38,39,40,41,42,43,44,45,46,47,48,49,50"</formula1>
    </dataValidation>
    <dataValidation type="list" allowBlank="1" showErrorMessage="1" sqref="D1027:F1027" xr:uid="{00000000-0002-0000-1100-000004000000}">
      <formula1>"Click to select number of new other investments,0,1,2,3,4,5,6,7,8,9,10,11,12,13,14,15,16,17,18,19,20"</formula1>
    </dataValidation>
  </dataValidations>
  <hyperlinks>
    <hyperlink ref="B10" location="'2.1 Investments_ANSP#1'!B83" tooltip="Go to Project #" display="1" xr:uid="{00000000-0004-0000-1100-000000000000}"/>
    <hyperlink ref="B11" location="'2.1 Investments_ANSP#1'!B102" tooltip="Go to Project #" display="2" xr:uid="{00000000-0004-0000-1100-000001000000}"/>
    <hyperlink ref="B12" location="'2.1 Investments_ANSP#1'!B121" tooltip="Go to Project #" display="3" xr:uid="{00000000-0004-0000-1100-000002000000}"/>
    <hyperlink ref="B13" location="'2.1 Investments_ANSP#1'!B140" tooltip="Go to Project #" display="4" xr:uid="{00000000-0004-0000-1100-000003000000}"/>
    <hyperlink ref="B14" location="'2.1 Investments_ANSP#1'!B159" tooltip="Go to Project #" display="5" xr:uid="{00000000-0004-0000-1100-000004000000}"/>
    <hyperlink ref="B15" location="'2.1 Investments_ANSP#1'!B178" tooltip="Go to Project #" display="6" xr:uid="{00000000-0004-0000-1100-000005000000}"/>
    <hyperlink ref="B16" location="'2.1 Investments_ANSP#1'!B197" tooltip="Go to Project #" display="7" xr:uid="{00000000-0004-0000-1100-000006000000}"/>
    <hyperlink ref="B17" location="'2.1 Investments_ANSP#1'!B216" tooltip="Go to Project #" display="8" xr:uid="{00000000-0004-0000-1100-000007000000}"/>
    <hyperlink ref="B18" location="'2.1 Investments_ANSP#1'!B235" tooltip="Go to Project #" display="9" xr:uid="{00000000-0004-0000-1100-000008000000}"/>
    <hyperlink ref="B19" location="'2.1 Investments_ANSP#1'!B254" tooltip="Go to Project #" display="10" xr:uid="{00000000-0004-0000-1100-000009000000}"/>
    <hyperlink ref="B20" location="'2.1 Investments_ANSP#1'!B273" tooltip="Go to Project #" display="11" xr:uid="{00000000-0004-0000-1100-00000A000000}"/>
    <hyperlink ref="B21" location="'2.1 Investments_ANSP#1'!B292" tooltip="Go to Project #" display="12" xr:uid="{00000000-0004-0000-1100-00000B000000}"/>
    <hyperlink ref="B22" location="'2.1 Investments_ANSP#1'!B311" tooltip="Go to Project #" display="13" xr:uid="{00000000-0004-0000-1100-00000C000000}"/>
    <hyperlink ref="B23" location="'2.1 Investments_ANSP#1'!B330" tooltip="Go to Project #" display="14" xr:uid="{00000000-0004-0000-1100-00000D000000}"/>
    <hyperlink ref="B24" location="'2.1 Investments_ANSP#1'!B349" tooltip="Go to Project #" display="15" xr:uid="{00000000-0004-0000-1100-00000E000000}"/>
    <hyperlink ref="B25" location="'2.1 Investments_ANSP#1'!B368" tooltip="Go to Project #" display="16" xr:uid="{00000000-0004-0000-1100-00000F000000}"/>
    <hyperlink ref="B26" location="'2.1 Investments_ANSP#1'!B387" tooltip="Go to Project #" display="17" xr:uid="{00000000-0004-0000-1100-000010000000}"/>
    <hyperlink ref="B27" location="'2.1 Investments_ANSP#1'!B406" tooltip="Go to Project #" display="18" xr:uid="{00000000-0004-0000-1100-000011000000}"/>
    <hyperlink ref="B28" location="'2.1 Investments_ANSP#1'!B425" tooltip="Go to Project #" display="19" xr:uid="{00000000-0004-0000-1100-000012000000}"/>
    <hyperlink ref="B29" location="'2.1 Investments_ANSP#1'!B444" tooltip="Go to Project #" display="20" xr:uid="{00000000-0004-0000-1100-000013000000}"/>
    <hyperlink ref="B30" location="'2.1 Investments_ANSP#1'!B463" tooltip="Go to Project #" display="21" xr:uid="{00000000-0004-0000-1100-000014000000}"/>
    <hyperlink ref="B31" location="'2.1 Investments_ANSP#1'!B482" tooltip="Go to Project #" display="22" xr:uid="{00000000-0004-0000-1100-000015000000}"/>
    <hyperlink ref="B32" location="'2.1 Investments_ANSP#1'!B501" tooltip="Go to Project #" display="23" xr:uid="{00000000-0004-0000-1100-000016000000}"/>
    <hyperlink ref="B33" location="'2.1 Investments_ANSP#1'!B520" tooltip="Go to Project #" display="24" xr:uid="{00000000-0004-0000-1100-000017000000}"/>
    <hyperlink ref="B34" location="'2.1 Investments_ANSP#1'!B539" tooltip="Go to Project #" display="25" xr:uid="{00000000-0004-0000-1100-000018000000}"/>
    <hyperlink ref="B35" location="'2.1 Investments_ANSP#1'!B558" tooltip="Go to Project #" display="26" xr:uid="{00000000-0004-0000-1100-000019000000}"/>
    <hyperlink ref="B36" location="'2.1 Investments_ANSP#1'!B577" tooltip="Go to Project #" display="27" xr:uid="{00000000-0004-0000-1100-00001A000000}"/>
    <hyperlink ref="B37" location="'2.1 Investments_ANSP#1'!B596" tooltip="Go to Project #" display="28" xr:uid="{00000000-0004-0000-1100-00001B000000}"/>
    <hyperlink ref="B38" location="'2.1 Investments_ANSP#1'!B615" tooltip="Go to Project #" display="29" xr:uid="{00000000-0004-0000-1100-00001C000000}"/>
    <hyperlink ref="B39" location="'2.1 Investments_ANSP#1'!B634" tooltip="Go to Project #" display="30" xr:uid="{00000000-0004-0000-1100-00001D000000}"/>
    <hyperlink ref="B40" location="'2.1 Investments_ANSP#1'!B653" tooltip="Go to Project #" display="31" xr:uid="{00000000-0004-0000-1100-00001E000000}"/>
    <hyperlink ref="B41" location="'2.1 Investments_ANSP#1'!B672" tooltip="Go to Project #" display="32" xr:uid="{00000000-0004-0000-1100-00001F000000}"/>
    <hyperlink ref="B42" location="'2.1 Investments_ANSP#1'!B691" tooltip="Go to Project #" display="33" xr:uid="{00000000-0004-0000-1100-000020000000}"/>
    <hyperlink ref="B43" location="'2.1 Investments_ANSP#1'!B710" tooltip="Go to Project #" display="34" xr:uid="{00000000-0004-0000-1100-000021000000}"/>
    <hyperlink ref="B44" location="'2.1 Investments_ANSP#1'!B729" tooltip="Go to Project #" display="35" xr:uid="{00000000-0004-0000-1100-000022000000}"/>
    <hyperlink ref="B45" location="'2.1 Investments_ANSP#1'!B748" tooltip="Go to Project #" display="36" xr:uid="{00000000-0004-0000-1100-000023000000}"/>
    <hyperlink ref="B46" location="'2.1 Investments_ANSP#1'!B767" tooltip="Go to Project #" display="37" xr:uid="{00000000-0004-0000-1100-000024000000}"/>
    <hyperlink ref="B47" location="'2.1 Investments_ANSP#1'!B786" tooltip="Go to Project #" display="38" xr:uid="{00000000-0004-0000-1100-000025000000}"/>
    <hyperlink ref="B48" location="'2.1 Investments_ANSP#1'!B805" tooltip="Go to Project #" display="39" xr:uid="{00000000-0004-0000-1100-000026000000}"/>
    <hyperlink ref="B49" location="'2.1 Investments_ANSP#1'!B824" tooltip="Go to Project #" display="40" xr:uid="{00000000-0004-0000-1100-000027000000}"/>
    <hyperlink ref="B50" location="'2.1 Investments_ANSP#1'!B843" tooltip="Go to Project #" display="41" xr:uid="{00000000-0004-0000-1100-000028000000}"/>
    <hyperlink ref="B51" location="'2.1 Investments_ANSP#1'!B862" tooltip="Go to Project #" display="42" xr:uid="{00000000-0004-0000-1100-000029000000}"/>
    <hyperlink ref="B52" location="'2.1 Investments_ANSP#1'!B881" tooltip="Go to Project #" display="43" xr:uid="{00000000-0004-0000-1100-00002A000000}"/>
    <hyperlink ref="B53" location="'2.1 Investments_ANSP#1'!B900" tooltip="Go to Project #" display="44" xr:uid="{00000000-0004-0000-1100-00002B000000}"/>
    <hyperlink ref="B54" location="'2.1 Investments_ANSP#1'!B919" tooltip="Go to Project #" display="45" xr:uid="{00000000-0004-0000-1100-00002C000000}"/>
    <hyperlink ref="B55" location="'2.1 Investments_ANSP#1'!B938" tooltip="Go to Project #" display="46" xr:uid="{00000000-0004-0000-1100-00002D000000}"/>
    <hyperlink ref="B56" location="'2.1 Investments_ANSP#1'!B957" tooltip="Go to Project #" display="47" xr:uid="{00000000-0004-0000-1100-00002E000000}"/>
    <hyperlink ref="B57" location="'2.1 Investments_ANSP#1'!B976" tooltip="Go to Project #" display="48" xr:uid="{00000000-0004-0000-1100-00002F000000}"/>
    <hyperlink ref="B58" location="'2.1 Investments_ANSP#1'!B995" tooltip="Go to Project #" display="49" xr:uid="{00000000-0004-0000-1100-000030000000}"/>
    <hyperlink ref="B59" location="'2.1 Investments_ANSP#1'!B1014" tooltip="Go to Project #" display="50" xr:uid="{00000000-0004-0000-1100-000031000000}"/>
    <hyperlink ref="A69" location="'2.1 Investments_ANSP#1'!B4" tooltip="Go to top" display="'2.1 Investments_ANSP#1'!B4" xr:uid="{00000000-0004-0000-1100-000032000000}"/>
    <hyperlink ref="A943" location="'2.1 Investments_ANSP#1'!B4" tooltip="Go to top" display="'2.1 Investments_ANSP#1'!B4" xr:uid="{00000000-0004-0000-1100-000033000000}"/>
    <hyperlink ref="A962" location="'2.1 Investments_ANSP#1'!B4" tooltip="Go to top" display="'2.1 Investments_ANSP#1'!B4" xr:uid="{00000000-0004-0000-1100-000034000000}"/>
    <hyperlink ref="A981" location="'2.1 Investments_ANSP#1'!B4" tooltip="Go to top" display="'2.1 Investments_ANSP#1'!B4" xr:uid="{00000000-0004-0000-1100-000035000000}"/>
    <hyperlink ref="A1000" location="'2.1 Investments_ANSP#1'!B4" tooltip="Go to top" display="'2.1 Investments_ANSP#1'!B4" xr:uid="{00000000-0004-0000-1100-000036000000}"/>
    <hyperlink ref="A88" location="'2.1 Investments_ANSP#1'!B4" tooltip="Go to top" display="'2.1 Investments_ANSP#1'!B4" xr:uid="{00000000-0004-0000-1100-000037000000}"/>
    <hyperlink ref="A107" location="'2.1 Investments_ANSP#1'!B4" tooltip="Go to top" display="'2.1 Investments_ANSP#1'!B4" xr:uid="{00000000-0004-0000-1100-000038000000}"/>
    <hyperlink ref="A126" location="'2.1 Investments_ANSP#1'!B4" tooltip="Go to top" display="'2.1 Investments_ANSP#1'!B4" xr:uid="{00000000-0004-0000-1100-000039000000}"/>
    <hyperlink ref="A145" location="'2.1 Investments_ANSP#1'!B4" tooltip="Go to top" display="'2.1 Investments_ANSP#1'!B4" xr:uid="{00000000-0004-0000-1100-00003A000000}"/>
    <hyperlink ref="A164" location="'2.1 Investments_ANSP#1'!B4" tooltip="Go to top" display="'2.1 Investments_ANSP#1'!B4" xr:uid="{00000000-0004-0000-1100-00003B000000}"/>
    <hyperlink ref="A183" location="'2.1 Investments_ANSP#1'!B4" tooltip="Go to top" display="'2.1 Investments_ANSP#1'!B4" xr:uid="{00000000-0004-0000-1100-00003C000000}"/>
    <hyperlink ref="A202" location="'2.1 Investments_ANSP#1'!B4" tooltip="Go to top" display="'2.1 Investments_ANSP#1'!B4" xr:uid="{00000000-0004-0000-1100-00003D000000}"/>
    <hyperlink ref="A221" location="'2.1 Investments_ANSP#1'!B4" tooltip="Go to top" display="'2.1 Investments_ANSP#1'!B4" xr:uid="{00000000-0004-0000-1100-00003E000000}"/>
    <hyperlink ref="A240" location="'2.1 Investments_ANSP#1'!B4" tooltip="Go to top" display="'2.1 Investments_ANSP#1'!B4" xr:uid="{00000000-0004-0000-1100-00003F000000}"/>
    <hyperlink ref="A259" location="'2.1 Investments_ANSP#1'!B4" tooltip="Go to top" display="'2.1 Investments_ANSP#1'!B4" xr:uid="{00000000-0004-0000-1100-000040000000}"/>
    <hyperlink ref="A278" location="'2.1 Investments_ANSP#1'!B4" tooltip="Go to top" display="'2.1 Investments_ANSP#1'!B4" xr:uid="{00000000-0004-0000-1100-000041000000}"/>
    <hyperlink ref="A297" location="'2.1 Investments_ANSP#1'!B4" tooltip="Go to top" display="'2.1 Investments_ANSP#1'!B4" xr:uid="{00000000-0004-0000-1100-000042000000}"/>
    <hyperlink ref="A316" location="'2.1 Investments_ANSP#1'!B4" tooltip="Go to top" display="'2.1 Investments_ANSP#1'!B4" xr:uid="{00000000-0004-0000-1100-000043000000}"/>
    <hyperlink ref="A335" location="'2.1 Investments_ANSP#1'!B4" tooltip="Go to top" display="'2.1 Investments_ANSP#1'!B4" xr:uid="{00000000-0004-0000-1100-000044000000}"/>
    <hyperlink ref="A354" location="'2.1 Investments_ANSP#1'!B4" tooltip="Go to top" display="'2.1 Investments_ANSP#1'!B4" xr:uid="{00000000-0004-0000-1100-000045000000}"/>
    <hyperlink ref="A373" location="'2.1 Investments_ANSP#1'!B4" tooltip="Go to top" display="'2.1 Investments_ANSP#1'!B4" xr:uid="{00000000-0004-0000-1100-000046000000}"/>
    <hyperlink ref="A392" location="'2.1 Investments_ANSP#1'!B4" tooltip="Go to top" display="'2.1 Investments_ANSP#1'!B4" xr:uid="{00000000-0004-0000-1100-000047000000}"/>
    <hyperlink ref="A411" location="'2.1 Investments_ANSP#1'!B4" tooltip="Go to top" display="'2.1 Investments_ANSP#1'!B4" xr:uid="{00000000-0004-0000-1100-000048000000}"/>
    <hyperlink ref="A430" location="'2.1 Investments_ANSP#1'!B4" tooltip="Go to top" display="'2.1 Investments_ANSP#1'!B4" xr:uid="{00000000-0004-0000-1100-000049000000}"/>
    <hyperlink ref="A449" location="'2.1 Investments_ANSP#1'!B4" tooltip="Go to top" display="'2.1 Investments_ANSP#1'!B4" xr:uid="{00000000-0004-0000-1100-00004A000000}"/>
    <hyperlink ref="A468" location="'2.1 Investments_ANSP#1'!B4" tooltip="Go to top" display="'2.1 Investments_ANSP#1'!B4" xr:uid="{00000000-0004-0000-1100-00004B000000}"/>
    <hyperlink ref="A487" location="'2.1 Investments_ANSP#1'!B4" tooltip="Go to top" display="'2.1 Investments_ANSP#1'!B4" xr:uid="{00000000-0004-0000-1100-00004C000000}"/>
    <hyperlink ref="A506" location="'2.1 Investments_ANSP#1'!B4" tooltip="Go to top" display="'2.1 Investments_ANSP#1'!B4" xr:uid="{00000000-0004-0000-1100-00004D000000}"/>
    <hyperlink ref="A525" location="'2.1 Investments_ANSP#1'!B4" tooltip="Go to top" display="'2.1 Investments_ANSP#1'!B4" xr:uid="{00000000-0004-0000-1100-00004E000000}"/>
    <hyperlink ref="A544" location="'2.1 Investments_ANSP#1'!B4" tooltip="Go to top" display="'2.1 Investments_ANSP#1'!B4" xr:uid="{00000000-0004-0000-1100-00004F000000}"/>
    <hyperlink ref="A563" location="'2.1 Investments_ANSP#1'!B4" tooltip="Go to top" display="'2.1 Investments_ANSP#1'!B4" xr:uid="{00000000-0004-0000-1100-000050000000}"/>
    <hyperlink ref="A582" location="'2.1 Investments_ANSP#1'!B4" tooltip="Go to top" display="'2.1 Investments_ANSP#1'!B4" xr:uid="{00000000-0004-0000-1100-000051000000}"/>
    <hyperlink ref="A601" location="'2.1 Investments_ANSP#1'!B4" tooltip="Go to top" display="'2.1 Investments_ANSP#1'!B4" xr:uid="{00000000-0004-0000-1100-000052000000}"/>
    <hyperlink ref="A620" location="'2.1 Investments_ANSP#1'!B4" tooltip="Go to top" display="'2.1 Investments_ANSP#1'!B4" xr:uid="{00000000-0004-0000-1100-000053000000}"/>
    <hyperlink ref="A639" location="'2.1 Investments_ANSP#1'!B4" tooltip="Go to top" display="'2.1 Investments_ANSP#1'!B4" xr:uid="{00000000-0004-0000-1100-000054000000}"/>
    <hyperlink ref="A658" location="'2.1 Investments_ANSP#1'!B4" tooltip="Go to top" display="'2.1 Investments_ANSP#1'!B4" xr:uid="{00000000-0004-0000-1100-000055000000}"/>
    <hyperlink ref="A677" location="'2.1 Investments_ANSP#1'!B4" tooltip="Go to top" display="'2.1 Investments_ANSP#1'!B4" xr:uid="{00000000-0004-0000-1100-000056000000}"/>
    <hyperlink ref="A696" location="'2.1 Investments_ANSP#1'!B4" tooltip="Go to top" display="'2.1 Investments_ANSP#1'!B4" xr:uid="{00000000-0004-0000-1100-000057000000}"/>
    <hyperlink ref="A715" location="'2.1 Investments_ANSP#1'!B4" tooltip="Go to top" display="'2.1 Investments_ANSP#1'!B4" xr:uid="{00000000-0004-0000-1100-000058000000}"/>
    <hyperlink ref="A734" location="'2.1 Investments_ANSP#1'!B4" tooltip="Go to top" display="'2.1 Investments_ANSP#1'!B4" xr:uid="{00000000-0004-0000-1100-000059000000}"/>
    <hyperlink ref="A753" location="'2.1 Investments_ANSP#1'!B4" tooltip="Go to top" display="'2.1 Investments_ANSP#1'!B4" xr:uid="{00000000-0004-0000-1100-00005A000000}"/>
    <hyperlink ref="A772" location="'2.1 Investments_ANSP#1'!B4" tooltip="Go to top" display="'2.1 Investments_ANSP#1'!B4" xr:uid="{00000000-0004-0000-1100-00005B000000}"/>
    <hyperlink ref="A791" location="'2.1 Investments_ANSP#1'!B4" tooltip="Go to top" display="'2.1 Investments_ANSP#1'!B4" xr:uid="{00000000-0004-0000-1100-00005C000000}"/>
    <hyperlink ref="A810" location="'2.1 Investments_ANSP#1'!B4" tooltip="Go to top" display="'2.1 Investments_ANSP#1'!B4" xr:uid="{00000000-0004-0000-1100-00005D000000}"/>
    <hyperlink ref="A829" location="'2.1 Investments_ANSP#1'!B4" tooltip="Go to top" display="'2.1 Investments_ANSP#1'!B4" xr:uid="{00000000-0004-0000-1100-00005E000000}"/>
    <hyperlink ref="A848" location="'2.1 Investments_ANSP#1'!B4" tooltip="Go to top" display="'2.1 Investments_ANSP#1'!B4" xr:uid="{00000000-0004-0000-1100-00005F000000}"/>
    <hyperlink ref="A867" location="'2.1 Investments_ANSP#1'!B4" tooltip="Go to top" display="'2.1 Investments_ANSP#1'!B4" xr:uid="{00000000-0004-0000-1100-000060000000}"/>
    <hyperlink ref="A886" location="'2.1 Investments_ANSP#1'!B4" tooltip="Go to top" display="'2.1 Investments_ANSP#1'!B4" xr:uid="{00000000-0004-0000-1100-000061000000}"/>
    <hyperlink ref="A905" location="'2.1 Investments_ANSP#1'!B4" tooltip="Go to top" display="'2.1 Investments_ANSP#1'!B4" xr:uid="{00000000-0004-0000-1100-000062000000}"/>
    <hyperlink ref="A924" location="'2.1 Investments_ANSP#1'!B4" tooltip="Go to top" display="'2.1 Investments_ANSP#1'!B4" xr:uid="{00000000-0004-0000-11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6">
    <tabColor theme="2" tint="-0.249977111117893"/>
    <pageSetUpPr fitToPage="1"/>
  </sheetPr>
  <dimension ref="A1:Q1052"/>
  <sheetViews>
    <sheetView showGridLines="0" zoomScaleNormal="100" workbookViewId="0">
      <selection activeCell="B2" sqref="B2"/>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"2.6 - Investments - "&amp;'1.1 The situation'!$B$18</f>
        <v xml:space="preserve">2.6 - Investments - </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1024</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t="s">
        <v>1378</v>
      </c>
      <c r="E6" s="850"/>
      <c r="F6" s="850"/>
      <c r="G6" s="144"/>
    </row>
    <row r="7" spans="1:17" ht="15" customHeight="1">
      <c r="B7" s="132"/>
      <c r="C7" s="132"/>
      <c r="D7" s="132"/>
      <c r="E7" s="132"/>
      <c r="F7" s="132"/>
    </row>
    <row r="8" spans="1:17" ht="30" customHeight="1">
      <c r="B8" s="673" t="s">
        <v>361</v>
      </c>
      <c r="C8" s="673" t="s">
        <v>324</v>
      </c>
      <c r="D8" s="673" t="s">
        <v>316</v>
      </c>
      <c r="E8" s="673" t="s">
        <v>993</v>
      </c>
      <c r="F8" s="673" t="s">
        <v>317</v>
      </c>
      <c r="G8" s="673"/>
      <c r="H8" s="673"/>
      <c r="I8" s="673"/>
      <c r="J8" s="673"/>
      <c r="K8" s="673" t="s">
        <v>40</v>
      </c>
      <c r="L8" s="673" t="s">
        <v>362</v>
      </c>
      <c r="M8" s="674"/>
      <c r="N8" s="673" t="s">
        <v>358</v>
      </c>
      <c r="O8" s="144"/>
      <c r="Q8" s="43"/>
    </row>
    <row r="9" spans="1:17" ht="29.25" customHeight="1">
      <c r="B9" s="673" t="s">
        <v>361</v>
      </c>
      <c r="C9" s="673"/>
      <c r="D9" s="673"/>
      <c r="E9" s="833"/>
      <c r="F9" s="198">
        <v>2020</v>
      </c>
      <c r="G9" s="198">
        <v>2021</v>
      </c>
      <c r="H9" s="198">
        <v>2022</v>
      </c>
      <c r="I9" s="198">
        <v>2023</v>
      </c>
      <c r="J9" s="198">
        <v>2024</v>
      </c>
      <c r="K9" s="673"/>
      <c r="L9" s="136" t="s">
        <v>303</v>
      </c>
      <c r="M9" s="136" t="s">
        <v>264</v>
      </c>
      <c r="N9" s="673"/>
      <c r="O9" s="144"/>
    </row>
    <row r="10" spans="1:17" hidden="1">
      <c r="A10" s="216"/>
      <c r="B10" s="217">
        <v>1</v>
      </c>
      <c r="C10" s="218"/>
      <c r="D10" s="205"/>
      <c r="E10" s="205"/>
      <c r="F10" s="205"/>
      <c r="G10" s="205"/>
      <c r="H10" s="205"/>
      <c r="I10" s="205"/>
      <c r="J10" s="205"/>
      <c r="K10" s="205"/>
      <c r="L10" s="219"/>
      <c r="M10" s="219"/>
      <c r="N10" s="220"/>
      <c r="O10" s="144"/>
    </row>
    <row r="11" spans="1:17" hidden="1">
      <c r="A11" s="216"/>
      <c r="B11" s="217">
        <v>2</v>
      </c>
      <c r="C11" s="218"/>
      <c r="D11" s="205"/>
      <c r="E11" s="205"/>
      <c r="F11" s="205"/>
      <c r="G11" s="205"/>
      <c r="H11" s="205"/>
      <c r="I11" s="205"/>
      <c r="J11" s="205"/>
      <c r="K11" s="205"/>
      <c r="L11" s="219"/>
      <c r="M11" s="219"/>
      <c r="N11" s="220"/>
      <c r="O11" s="144"/>
    </row>
    <row r="12" spans="1:17" hidden="1">
      <c r="A12" s="216"/>
      <c r="B12" s="217">
        <v>3</v>
      </c>
      <c r="C12" s="218"/>
      <c r="D12" s="205"/>
      <c r="E12" s="205"/>
      <c r="F12" s="205"/>
      <c r="G12" s="205"/>
      <c r="H12" s="205"/>
      <c r="I12" s="205"/>
      <c r="J12" s="205"/>
      <c r="K12" s="205"/>
      <c r="L12" s="219"/>
      <c r="M12" s="219"/>
      <c r="N12" s="220"/>
      <c r="O12" s="144"/>
    </row>
    <row r="13" spans="1:17" hidden="1">
      <c r="A13" s="216"/>
      <c r="B13" s="217">
        <v>4</v>
      </c>
      <c r="C13" s="218"/>
      <c r="D13" s="205"/>
      <c r="E13" s="205"/>
      <c r="F13" s="205"/>
      <c r="G13" s="205"/>
      <c r="H13" s="205"/>
      <c r="I13" s="205"/>
      <c r="J13" s="205"/>
      <c r="K13" s="205"/>
      <c r="L13" s="219"/>
      <c r="M13" s="219"/>
      <c r="N13" s="220"/>
      <c r="O13" s="144"/>
    </row>
    <row r="14" spans="1:17" hidden="1">
      <c r="A14" s="216"/>
      <c r="B14" s="217">
        <v>5</v>
      </c>
      <c r="C14" s="218"/>
      <c r="D14" s="205"/>
      <c r="E14" s="205"/>
      <c r="F14" s="205"/>
      <c r="G14" s="205"/>
      <c r="H14" s="205"/>
      <c r="I14" s="205"/>
      <c r="J14" s="205"/>
      <c r="K14" s="205"/>
      <c r="L14" s="219"/>
      <c r="M14" s="219"/>
      <c r="N14" s="220"/>
      <c r="O14" s="144"/>
    </row>
    <row r="15" spans="1:17" hidden="1">
      <c r="A15" s="216"/>
      <c r="B15" s="217">
        <v>6</v>
      </c>
      <c r="C15" s="218"/>
      <c r="D15" s="205"/>
      <c r="E15" s="205"/>
      <c r="F15" s="205"/>
      <c r="G15" s="205"/>
      <c r="H15" s="205"/>
      <c r="I15" s="205"/>
      <c r="J15" s="205"/>
      <c r="K15" s="205"/>
      <c r="L15" s="219"/>
      <c r="M15" s="219"/>
      <c r="N15" s="220"/>
      <c r="O15" s="144"/>
    </row>
    <row r="16" spans="1:17" hidden="1">
      <c r="A16" s="216"/>
      <c r="B16" s="217">
        <v>7</v>
      </c>
      <c r="C16" s="218"/>
      <c r="D16" s="205"/>
      <c r="E16" s="205"/>
      <c r="F16" s="205"/>
      <c r="G16" s="205"/>
      <c r="H16" s="205"/>
      <c r="I16" s="205"/>
      <c r="J16" s="205"/>
      <c r="K16" s="205"/>
      <c r="L16" s="219"/>
      <c r="M16" s="219"/>
      <c r="N16" s="220"/>
      <c r="O16" s="144"/>
    </row>
    <row r="17" spans="1:15" hidden="1">
      <c r="A17" s="216"/>
      <c r="B17" s="217">
        <v>8</v>
      </c>
      <c r="C17" s="218"/>
      <c r="D17" s="205"/>
      <c r="E17" s="205"/>
      <c r="F17" s="205"/>
      <c r="G17" s="205"/>
      <c r="H17" s="205"/>
      <c r="I17" s="205"/>
      <c r="J17" s="205"/>
      <c r="K17" s="205"/>
      <c r="L17" s="219"/>
      <c r="M17" s="219"/>
      <c r="N17" s="220"/>
      <c r="O17" s="144"/>
    </row>
    <row r="18" spans="1:15" ht="15" hidden="1" customHeight="1">
      <c r="A18" s="216"/>
      <c r="B18" s="217">
        <v>9</v>
      </c>
      <c r="C18" s="218"/>
      <c r="D18" s="205"/>
      <c r="E18" s="205"/>
      <c r="F18" s="205"/>
      <c r="G18" s="205"/>
      <c r="H18" s="205"/>
      <c r="I18" s="205"/>
      <c r="J18" s="205"/>
      <c r="K18" s="205"/>
      <c r="L18" s="219"/>
      <c r="M18" s="219"/>
      <c r="N18" s="220"/>
      <c r="O18" s="144"/>
    </row>
    <row r="19" spans="1:15" ht="15" hidden="1" customHeight="1">
      <c r="A19" s="216"/>
      <c r="B19" s="217">
        <v>10</v>
      </c>
      <c r="C19" s="218"/>
      <c r="D19" s="205"/>
      <c r="E19" s="205"/>
      <c r="F19" s="205"/>
      <c r="G19" s="205"/>
      <c r="H19" s="205"/>
      <c r="I19" s="205"/>
      <c r="J19" s="205"/>
      <c r="K19" s="205"/>
      <c r="L19" s="219"/>
      <c r="M19" s="219"/>
      <c r="N19" s="220"/>
      <c r="O19" s="144"/>
    </row>
    <row r="20" spans="1:15" hidden="1">
      <c r="A20" s="216"/>
      <c r="B20" s="217">
        <v>11</v>
      </c>
      <c r="C20" s="218"/>
      <c r="D20" s="205"/>
      <c r="E20" s="205"/>
      <c r="F20" s="205"/>
      <c r="G20" s="205"/>
      <c r="H20" s="205"/>
      <c r="I20" s="205"/>
      <c r="J20" s="205"/>
      <c r="K20" s="205"/>
      <c r="L20" s="219"/>
      <c r="M20" s="219"/>
      <c r="N20" s="220"/>
      <c r="O20" s="144"/>
    </row>
    <row r="21" spans="1:15" ht="15" hidden="1" customHeight="1">
      <c r="A21" s="216"/>
      <c r="B21" s="217">
        <v>12</v>
      </c>
      <c r="C21" s="218"/>
      <c r="D21" s="205"/>
      <c r="E21" s="205"/>
      <c r="F21" s="205"/>
      <c r="G21" s="205"/>
      <c r="H21" s="205"/>
      <c r="I21" s="205"/>
      <c r="J21" s="205"/>
      <c r="K21" s="205"/>
      <c r="L21" s="219"/>
      <c r="M21" s="219"/>
      <c r="N21" s="220"/>
      <c r="O21" s="144"/>
    </row>
    <row r="22" spans="1:15" hidden="1">
      <c r="A22" s="216"/>
      <c r="B22" s="217">
        <v>13</v>
      </c>
      <c r="C22" s="218"/>
      <c r="D22" s="205"/>
      <c r="E22" s="205"/>
      <c r="F22" s="205"/>
      <c r="G22" s="205"/>
      <c r="H22" s="205"/>
      <c r="I22" s="205"/>
      <c r="J22" s="205"/>
      <c r="K22" s="205"/>
      <c r="L22" s="219"/>
      <c r="M22" s="219"/>
      <c r="N22" s="220"/>
      <c r="O22" s="144"/>
    </row>
    <row r="23" spans="1:15" hidden="1">
      <c r="A23" s="216"/>
      <c r="B23" s="217">
        <v>14</v>
      </c>
      <c r="C23" s="218"/>
      <c r="D23" s="205"/>
      <c r="E23" s="205"/>
      <c r="F23" s="205"/>
      <c r="G23" s="205"/>
      <c r="H23" s="205"/>
      <c r="I23" s="205"/>
      <c r="J23" s="205"/>
      <c r="K23" s="205"/>
      <c r="L23" s="219"/>
      <c r="M23" s="219"/>
      <c r="N23" s="220"/>
      <c r="O23" s="144"/>
    </row>
    <row r="24" spans="1:15" hidden="1">
      <c r="A24" s="216"/>
      <c r="B24" s="217">
        <v>15</v>
      </c>
      <c r="C24" s="218"/>
      <c r="D24" s="205"/>
      <c r="E24" s="205"/>
      <c r="F24" s="205"/>
      <c r="G24" s="205"/>
      <c r="H24" s="205"/>
      <c r="I24" s="205"/>
      <c r="J24" s="205"/>
      <c r="K24" s="205"/>
      <c r="L24" s="219"/>
      <c r="M24" s="219"/>
      <c r="N24" s="220"/>
      <c r="O24" s="144"/>
    </row>
    <row r="25" spans="1:15" hidden="1">
      <c r="A25" s="216"/>
      <c r="B25" s="217">
        <v>16</v>
      </c>
      <c r="C25" s="218"/>
      <c r="D25" s="205"/>
      <c r="E25" s="205"/>
      <c r="F25" s="205"/>
      <c r="G25" s="205"/>
      <c r="H25" s="205"/>
      <c r="I25" s="205"/>
      <c r="J25" s="205"/>
      <c r="K25" s="205"/>
      <c r="L25" s="219"/>
      <c r="M25" s="219"/>
      <c r="N25" s="220"/>
      <c r="O25" s="144"/>
    </row>
    <row r="26" spans="1:15" hidden="1">
      <c r="A26" s="216"/>
      <c r="B26" s="217">
        <v>17</v>
      </c>
      <c r="C26" s="218"/>
      <c r="D26" s="205"/>
      <c r="E26" s="205"/>
      <c r="F26" s="205"/>
      <c r="G26" s="205"/>
      <c r="H26" s="205"/>
      <c r="I26" s="205"/>
      <c r="J26" s="205"/>
      <c r="K26" s="205"/>
      <c r="L26" s="219"/>
      <c r="M26" s="219"/>
      <c r="N26" s="220"/>
      <c r="O26" s="144"/>
    </row>
    <row r="27" spans="1:15" hidden="1">
      <c r="A27" s="216"/>
      <c r="B27" s="217">
        <v>18</v>
      </c>
      <c r="C27" s="218"/>
      <c r="D27" s="205"/>
      <c r="E27" s="205"/>
      <c r="F27" s="205"/>
      <c r="G27" s="205"/>
      <c r="H27" s="205"/>
      <c r="I27" s="205"/>
      <c r="J27" s="205"/>
      <c r="K27" s="205"/>
      <c r="L27" s="219"/>
      <c r="M27" s="219"/>
      <c r="N27" s="220"/>
      <c r="O27" s="144"/>
    </row>
    <row r="28" spans="1:15" hidden="1">
      <c r="A28" s="216"/>
      <c r="B28" s="217">
        <v>19</v>
      </c>
      <c r="C28" s="218"/>
      <c r="D28" s="205"/>
      <c r="E28" s="205"/>
      <c r="F28" s="205"/>
      <c r="G28" s="205"/>
      <c r="H28" s="205"/>
      <c r="I28" s="205"/>
      <c r="J28" s="205"/>
      <c r="K28" s="205"/>
      <c r="L28" s="219"/>
      <c r="M28" s="219"/>
      <c r="N28" s="220"/>
      <c r="O28" s="144"/>
    </row>
    <row r="29" spans="1:15" hidden="1">
      <c r="A29" s="216"/>
      <c r="B29" s="217">
        <v>20</v>
      </c>
      <c r="C29" s="218"/>
      <c r="D29" s="205"/>
      <c r="E29" s="205"/>
      <c r="F29" s="205"/>
      <c r="G29" s="205"/>
      <c r="H29" s="205"/>
      <c r="I29" s="205"/>
      <c r="J29" s="205"/>
      <c r="K29" s="205"/>
      <c r="L29" s="219"/>
      <c r="M29" s="219"/>
      <c r="N29" s="220"/>
      <c r="O29" s="144"/>
    </row>
    <row r="30" spans="1:15" hidden="1">
      <c r="A30" s="216"/>
      <c r="B30" s="217">
        <v>21</v>
      </c>
      <c r="C30" s="218"/>
      <c r="D30" s="205"/>
      <c r="E30" s="205"/>
      <c r="F30" s="205"/>
      <c r="G30" s="205"/>
      <c r="H30" s="205"/>
      <c r="I30" s="205"/>
      <c r="J30" s="205"/>
      <c r="K30" s="205"/>
      <c r="L30" s="219"/>
      <c r="M30" s="219"/>
      <c r="N30" s="220"/>
      <c r="O30" s="144"/>
    </row>
    <row r="31" spans="1:15" hidden="1">
      <c r="A31" s="216"/>
      <c r="B31" s="217">
        <v>22</v>
      </c>
      <c r="C31" s="218"/>
      <c r="D31" s="205"/>
      <c r="E31" s="205"/>
      <c r="F31" s="205"/>
      <c r="G31" s="205"/>
      <c r="H31" s="205"/>
      <c r="I31" s="205"/>
      <c r="J31" s="205"/>
      <c r="K31" s="205"/>
      <c r="L31" s="219"/>
      <c r="M31" s="219"/>
      <c r="N31" s="220"/>
      <c r="O31" s="144"/>
    </row>
    <row r="32" spans="1:15" hidden="1">
      <c r="A32" s="216"/>
      <c r="B32" s="217">
        <v>23</v>
      </c>
      <c r="C32" s="218"/>
      <c r="D32" s="205"/>
      <c r="E32" s="205"/>
      <c r="F32" s="205"/>
      <c r="G32" s="205"/>
      <c r="H32" s="205"/>
      <c r="I32" s="205"/>
      <c r="J32" s="205"/>
      <c r="K32" s="205"/>
      <c r="L32" s="219"/>
      <c r="M32" s="219"/>
      <c r="N32" s="220"/>
      <c r="O32" s="144"/>
    </row>
    <row r="33" spans="1:15" hidden="1">
      <c r="A33" s="216"/>
      <c r="B33" s="217">
        <v>24</v>
      </c>
      <c r="C33" s="218"/>
      <c r="D33" s="205"/>
      <c r="E33" s="205"/>
      <c r="F33" s="205"/>
      <c r="G33" s="205"/>
      <c r="H33" s="205"/>
      <c r="I33" s="205"/>
      <c r="J33" s="205"/>
      <c r="K33" s="205"/>
      <c r="L33" s="219"/>
      <c r="M33" s="219"/>
      <c r="N33" s="220"/>
      <c r="O33" s="144"/>
    </row>
    <row r="34" spans="1:15" hidden="1">
      <c r="A34" s="216"/>
      <c r="B34" s="217">
        <v>25</v>
      </c>
      <c r="C34" s="218"/>
      <c r="D34" s="205"/>
      <c r="E34" s="205"/>
      <c r="F34" s="205"/>
      <c r="G34" s="205"/>
      <c r="H34" s="205"/>
      <c r="I34" s="205"/>
      <c r="J34" s="205"/>
      <c r="K34" s="205"/>
      <c r="L34" s="219"/>
      <c r="M34" s="219"/>
      <c r="N34" s="220"/>
      <c r="O34" s="144"/>
    </row>
    <row r="35" spans="1:15" hidden="1">
      <c r="A35" s="216"/>
      <c r="B35" s="217">
        <v>26</v>
      </c>
      <c r="C35" s="218"/>
      <c r="D35" s="205"/>
      <c r="E35" s="205"/>
      <c r="F35" s="205"/>
      <c r="G35" s="205"/>
      <c r="H35" s="205"/>
      <c r="I35" s="205"/>
      <c r="J35" s="205"/>
      <c r="K35" s="205"/>
      <c r="L35" s="219"/>
      <c r="M35" s="219"/>
      <c r="N35" s="220"/>
      <c r="O35" s="144"/>
    </row>
    <row r="36" spans="1:15" hidden="1">
      <c r="A36" s="216"/>
      <c r="B36" s="217">
        <v>27</v>
      </c>
      <c r="C36" s="218"/>
      <c r="D36" s="205"/>
      <c r="E36" s="205"/>
      <c r="F36" s="205"/>
      <c r="G36" s="205"/>
      <c r="H36" s="205"/>
      <c r="I36" s="205"/>
      <c r="J36" s="205"/>
      <c r="K36" s="205"/>
      <c r="L36" s="219"/>
      <c r="M36" s="219"/>
      <c r="N36" s="220"/>
      <c r="O36" s="144"/>
    </row>
    <row r="37" spans="1:15" hidden="1">
      <c r="A37" s="216"/>
      <c r="B37" s="217">
        <v>28</v>
      </c>
      <c r="C37" s="218"/>
      <c r="D37" s="205"/>
      <c r="E37" s="205"/>
      <c r="F37" s="205"/>
      <c r="G37" s="205"/>
      <c r="H37" s="205"/>
      <c r="I37" s="205"/>
      <c r="J37" s="205"/>
      <c r="K37" s="205"/>
      <c r="L37" s="219"/>
      <c r="M37" s="219"/>
      <c r="N37" s="220"/>
      <c r="O37" s="144"/>
    </row>
    <row r="38" spans="1:15" hidden="1">
      <c r="A38" s="216"/>
      <c r="B38" s="217">
        <v>29</v>
      </c>
      <c r="C38" s="218"/>
      <c r="D38" s="205"/>
      <c r="E38" s="205"/>
      <c r="F38" s="205"/>
      <c r="G38" s="205"/>
      <c r="H38" s="205"/>
      <c r="I38" s="205"/>
      <c r="J38" s="205"/>
      <c r="K38" s="205"/>
      <c r="L38" s="219"/>
      <c r="M38" s="219"/>
      <c r="N38" s="220"/>
      <c r="O38" s="144"/>
    </row>
    <row r="39" spans="1:15" hidden="1">
      <c r="A39" s="216"/>
      <c r="B39" s="217">
        <v>30</v>
      </c>
      <c r="C39" s="218"/>
      <c r="D39" s="205"/>
      <c r="E39" s="205"/>
      <c r="F39" s="205"/>
      <c r="G39" s="205"/>
      <c r="H39" s="205"/>
      <c r="I39" s="205"/>
      <c r="J39" s="205"/>
      <c r="K39" s="205"/>
      <c r="L39" s="219"/>
      <c r="M39" s="219"/>
      <c r="N39" s="220"/>
      <c r="O39" s="144"/>
    </row>
    <row r="40" spans="1:15" hidden="1">
      <c r="A40" s="216"/>
      <c r="B40" s="217">
        <v>31</v>
      </c>
      <c r="C40" s="218"/>
      <c r="D40" s="205"/>
      <c r="E40" s="205"/>
      <c r="F40" s="205"/>
      <c r="G40" s="205"/>
      <c r="H40" s="205"/>
      <c r="I40" s="205"/>
      <c r="J40" s="205"/>
      <c r="K40" s="205"/>
      <c r="L40" s="219"/>
      <c r="M40" s="219"/>
      <c r="N40" s="220"/>
      <c r="O40" s="144"/>
    </row>
    <row r="41" spans="1:15" hidden="1">
      <c r="A41" s="216"/>
      <c r="B41" s="217">
        <v>32</v>
      </c>
      <c r="C41" s="218"/>
      <c r="D41" s="205"/>
      <c r="E41" s="205"/>
      <c r="F41" s="205"/>
      <c r="G41" s="205"/>
      <c r="H41" s="205"/>
      <c r="I41" s="205"/>
      <c r="J41" s="205"/>
      <c r="K41" s="205"/>
      <c r="L41" s="219"/>
      <c r="M41" s="219"/>
      <c r="N41" s="220"/>
      <c r="O41" s="144"/>
    </row>
    <row r="42" spans="1:15" hidden="1">
      <c r="A42" s="216"/>
      <c r="B42" s="217">
        <v>33</v>
      </c>
      <c r="C42" s="218"/>
      <c r="D42" s="205"/>
      <c r="E42" s="205"/>
      <c r="F42" s="205"/>
      <c r="G42" s="205"/>
      <c r="H42" s="205"/>
      <c r="I42" s="205"/>
      <c r="J42" s="205"/>
      <c r="K42" s="205"/>
      <c r="L42" s="219"/>
      <c r="M42" s="219"/>
      <c r="N42" s="220"/>
      <c r="O42" s="144"/>
    </row>
    <row r="43" spans="1:15" hidden="1">
      <c r="A43" s="216"/>
      <c r="B43" s="217">
        <v>34</v>
      </c>
      <c r="C43" s="218"/>
      <c r="D43" s="205"/>
      <c r="E43" s="205"/>
      <c r="F43" s="205"/>
      <c r="G43" s="205"/>
      <c r="H43" s="205"/>
      <c r="I43" s="205"/>
      <c r="J43" s="205"/>
      <c r="K43" s="205"/>
      <c r="L43" s="219"/>
      <c r="M43" s="219"/>
      <c r="N43" s="220"/>
      <c r="O43" s="144"/>
    </row>
    <row r="44" spans="1:15" hidden="1">
      <c r="A44" s="216"/>
      <c r="B44" s="217">
        <v>35</v>
      </c>
      <c r="C44" s="218"/>
      <c r="D44" s="205"/>
      <c r="E44" s="205"/>
      <c r="F44" s="205"/>
      <c r="G44" s="205"/>
      <c r="H44" s="205"/>
      <c r="I44" s="205"/>
      <c r="J44" s="205"/>
      <c r="K44" s="205"/>
      <c r="L44" s="219"/>
      <c r="M44" s="219"/>
      <c r="N44" s="220"/>
      <c r="O44" s="144"/>
    </row>
    <row r="45" spans="1:15" hidden="1">
      <c r="A45" s="216"/>
      <c r="B45" s="217">
        <v>36</v>
      </c>
      <c r="C45" s="218"/>
      <c r="D45" s="205"/>
      <c r="E45" s="205"/>
      <c r="F45" s="205"/>
      <c r="G45" s="205"/>
      <c r="H45" s="205"/>
      <c r="I45" s="205"/>
      <c r="J45" s="205"/>
      <c r="K45" s="205"/>
      <c r="L45" s="219"/>
      <c r="M45" s="219"/>
      <c r="N45" s="220"/>
      <c r="O45" s="144"/>
    </row>
    <row r="46" spans="1:15" hidden="1">
      <c r="A46" s="216"/>
      <c r="B46" s="217">
        <v>37</v>
      </c>
      <c r="C46" s="218"/>
      <c r="D46" s="205"/>
      <c r="E46" s="205"/>
      <c r="F46" s="205"/>
      <c r="G46" s="205"/>
      <c r="H46" s="205"/>
      <c r="I46" s="205"/>
      <c r="J46" s="205"/>
      <c r="K46" s="205"/>
      <c r="L46" s="219"/>
      <c r="M46" s="219"/>
      <c r="N46" s="220"/>
      <c r="O46" s="144"/>
    </row>
    <row r="47" spans="1:15" hidden="1">
      <c r="A47" s="216"/>
      <c r="B47" s="217">
        <v>38</v>
      </c>
      <c r="C47" s="218"/>
      <c r="D47" s="205"/>
      <c r="E47" s="205"/>
      <c r="F47" s="205"/>
      <c r="G47" s="205"/>
      <c r="H47" s="205"/>
      <c r="I47" s="205"/>
      <c r="J47" s="205"/>
      <c r="K47" s="205"/>
      <c r="L47" s="219"/>
      <c r="M47" s="219"/>
      <c r="N47" s="220"/>
      <c r="O47" s="144"/>
    </row>
    <row r="48" spans="1:15" hidden="1">
      <c r="A48" s="216"/>
      <c r="B48" s="217">
        <v>39</v>
      </c>
      <c r="C48" s="218"/>
      <c r="D48" s="205"/>
      <c r="E48" s="205"/>
      <c r="F48" s="205"/>
      <c r="G48" s="205"/>
      <c r="H48" s="205"/>
      <c r="I48" s="205"/>
      <c r="J48" s="205"/>
      <c r="K48" s="205"/>
      <c r="L48" s="219"/>
      <c r="M48" s="219"/>
      <c r="N48" s="220"/>
      <c r="O48" s="144"/>
    </row>
    <row r="49" spans="1:15" hidden="1">
      <c r="A49" s="216"/>
      <c r="B49" s="217">
        <v>40</v>
      </c>
      <c r="C49" s="218"/>
      <c r="D49" s="205"/>
      <c r="E49" s="205"/>
      <c r="F49" s="205"/>
      <c r="G49" s="205"/>
      <c r="H49" s="205"/>
      <c r="I49" s="205"/>
      <c r="J49" s="205"/>
      <c r="K49" s="205"/>
      <c r="L49" s="219"/>
      <c r="M49" s="219"/>
      <c r="N49" s="220"/>
      <c r="O49" s="144"/>
    </row>
    <row r="50" spans="1:15" hidden="1">
      <c r="A50" s="216"/>
      <c r="B50" s="217">
        <v>41</v>
      </c>
      <c r="C50" s="218"/>
      <c r="D50" s="205"/>
      <c r="E50" s="205"/>
      <c r="F50" s="205"/>
      <c r="G50" s="205"/>
      <c r="H50" s="205"/>
      <c r="I50" s="205"/>
      <c r="J50" s="205"/>
      <c r="K50" s="205"/>
      <c r="L50" s="219"/>
      <c r="M50" s="219"/>
      <c r="N50" s="220"/>
      <c r="O50" s="144"/>
    </row>
    <row r="51" spans="1:15" hidden="1">
      <c r="A51" s="216"/>
      <c r="B51" s="217">
        <v>42</v>
      </c>
      <c r="C51" s="218"/>
      <c r="D51" s="205"/>
      <c r="E51" s="205"/>
      <c r="F51" s="205"/>
      <c r="G51" s="205"/>
      <c r="H51" s="205"/>
      <c r="I51" s="205"/>
      <c r="J51" s="205"/>
      <c r="K51" s="205"/>
      <c r="L51" s="219"/>
      <c r="M51" s="219"/>
      <c r="N51" s="220"/>
      <c r="O51" s="144"/>
    </row>
    <row r="52" spans="1:15" hidden="1">
      <c r="A52" s="216"/>
      <c r="B52" s="217">
        <v>43</v>
      </c>
      <c r="C52" s="218"/>
      <c r="D52" s="205"/>
      <c r="E52" s="205"/>
      <c r="F52" s="205"/>
      <c r="G52" s="205"/>
      <c r="H52" s="205"/>
      <c r="I52" s="205"/>
      <c r="J52" s="205"/>
      <c r="K52" s="205"/>
      <c r="L52" s="219"/>
      <c r="M52" s="219"/>
      <c r="N52" s="220"/>
      <c r="O52" s="144"/>
    </row>
    <row r="53" spans="1:15" hidden="1">
      <c r="A53" s="216"/>
      <c r="B53" s="217">
        <v>44</v>
      </c>
      <c r="C53" s="218"/>
      <c r="D53" s="205"/>
      <c r="E53" s="205"/>
      <c r="F53" s="205"/>
      <c r="G53" s="205"/>
      <c r="H53" s="205"/>
      <c r="I53" s="205"/>
      <c r="J53" s="205"/>
      <c r="K53" s="205"/>
      <c r="L53" s="219"/>
      <c r="M53" s="219"/>
      <c r="N53" s="220"/>
      <c r="O53" s="144"/>
    </row>
    <row r="54" spans="1:15" hidden="1">
      <c r="A54" s="216"/>
      <c r="B54" s="217">
        <v>45</v>
      </c>
      <c r="C54" s="218"/>
      <c r="D54" s="205"/>
      <c r="E54" s="205"/>
      <c r="F54" s="205"/>
      <c r="G54" s="205"/>
      <c r="H54" s="205"/>
      <c r="I54" s="205"/>
      <c r="J54" s="205"/>
      <c r="K54" s="205"/>
      <c r="L54" s="219"/>
      <c r="M54" s="219"/>
      <c r="N54" s="220"/>
      <c r="O54" s="144"/>
    </row>
    <row r="55" spans="1:15" hidden="1">
      <c r="A55" s="216"/>
      <c r="B55" s="217">
        <v>46</v>
      </c>
      <c r="C55" s="218"/>
      <c r="D55" s="205"/>
      <c r="E55" s="205"/>
      <c r="F55" s="205"/>
      <c r="G55" s="205"/>
      <c r="H55" s="205"/>
      <c r="I55" s="205"/>
      <c r="J55" s="205"/>
      <c r="K55" s="205"/>
      <c r="L55" s="219"/>
      <c r="M55" s="219"/>
      <c r="N55" s="220"/>
      <c r="O55" s="144"/>
    </row>
    <row r="56" spans="1:15" hidden="1">
      <c r="A56" s="216"/>
      <c r="B56" s="217">
        <v>47</v>
      </c>
      <c r="C56" s="218"/>
      <c r="D56" s="205"/>
      <c r="E56" s="205"/>
      <c r="F56" s="205"/>
      <c r="G56" s="205"/>
      <c r="H56" s="205"/>
      <c r="I56" s="205"/>
      <c r="J56" s="205"/>
      <c r="K56" s="205"/>
      <c r="L56" s="219"/>
      <c r="M56" s="219"/>
      <c r="N56" s="220"/>
      <c r="O56" s="144"/>
    </row>
    <row r="57" spans="1:15" hidden="1">
      <c r="A57" s="216"/>
      <c r="B57" s="217">
        <v>48</v>
      </c>
      <c r="C57" s="218"/>
      <c r="D57" s="205"/>
      <c r="E57" s="205"/>
      <c r="F57" s="205"/>
      <c r="G57" s="205"/>
      <c r="H57" s="205"/>
      <c r="I57" s="205"/>
      <c r="J57" s="205"/>
      <c r="K57" s="205"/>
      <c r="L57" s="219"/>
      <c r="M57" s="219"/>
      <c r="N57" s="220"/>
      <c r="O57" s="144"/>
    </row>
    <row r="58" spans="1:15" hidden="1">
      <c r="A58" s="216"/>
      <c r="B58" s="217">
        <v>49</v>
      </c>
      <c r="C58" s="218"/>
      <c r="D58" s="205"/>
      <c r="E58" s="205"/>
      <c r="F58" s="205"/>
      <c r="G58" s="205"/>
      <c r="H58" s="205"/>
      <c r="I58" s="205"/>
      <c r="J58" s="205"/>
      <c r="K58" s="205"/>
      <c r="L58" s="219"/>
      <c r="M58" s="219"/>
      <c r="N58" s="220"/>
      <c r="O58" s="144"/>
    </row>
    <row r="59" spans="1:15" hidden="1">
      <c r="A59" s="216"/>
      <c r="B59" s="217">
        <v>50</v>
      </c>
      <c r="C59" s="218"/>
      <c r="D59" s="205"/>
      <c r="E59" s="205"/>
      <c r="F59" s="205"/>
      <c r="G59" s="205"/>
      <c r="H59" s="205"/>
      <c r="I59" s="205"/>
      <c r="J59" s="205"/>
      <c r="K59" s="205"/>
      <c r="L59" s="219"/>
      <c r="M59" s="219"/>
      <c r="N59" s="220"/>
      <c r="O59" s="144"/>
    </row>
    <row r="60" spans="1:15" ht="28.5" customHeight="1">
      <c r="B60" s="654" t="s">
        <v>319</v>
      </c>
      <c r="C60" s="655"/>
      <c r="D60" s="221">
        <f t="shared" ref="D60:J60" si="0">SUM(D10:D59)</f>
        <v>0</v>
      </c>
      <c r="E60" s="221">
        <f t="shared" si="0"/>
        <v>0</v>
      </c>
      <c r="F60" s="221">
        <f t="shared" si="0"/>
        <v>0</v>
      </c>
      <c r="G60" s="221">
        <f t="shared" si="0"/>
        <v>0</v>
      </c>
      <c r="H60" s="221">
        <f t="shared" si="0"/>
        <v>0</v>
      </c>
      <c r="I60" s="221">
        <f t="shared" si="0"/>
        <v>0</v>
      </c>
      <c r="J60" s="221">
        <f t="shared" si="0"/>
        <v>0</v>
      </c>
      <c r="K60" s="176"/>
      <c r="L60" s="176"/>
      <c r="M60" s="176"/>
      <c r="N60" s="176"/>
      <c r="O60" s="144"/>
    </row>
    <row r="61" spans="1:15" ht="30" customHeight="1">
      <c r="B61" s="654" t="s">
        <v>320</v>
      </c>
      <c r="C61" s="655"/>
      <c r="D61" s="205"/>
      <c r="E61" s="205"/>
      <c r="F61" s="205"/>
      <c r="G61" s="205"/>
      <c r="H61" s="205"/>
      <c r="I61" s="205"/>
      <c r="J61" s="205"/>
      <c r="K61" s="176"/>
      <c r="L61" s="219"/>
      <c r="M61" s="219"/>
      <c r="N61" s="176"/>
      <c r="O61" s="144"/>
    </row>
    <row r="62" spans="1:15">
      <c r="B62" s="654" t="s">
        <v>321</v>
      </c>
      <c r="C62" s="655"/>
      <c r="D62" s="176"/>
      <c r="E62" s="176"/>
      <c r="F62" s="205"/>
      <c r="G62" s="205"/>
      <c r="H62" s="205"/>
      <c r="I62" s="205"/>
      <c r="J62" s="205"/>
      <c r="K62" s="176"/>
      <c r="L62" s="219"/>
      <c r="M62" s="219"/>
      <c r="N62" s="176"/>
      <c r="O62" s="144"/>
    </row>
    <row r="63" spans="1:15" ht="30" customHeight="1">
      <c r="B63" s="654" t="s">
        <v>357</v>
      </c>
      <c r="C63" s="655"/>
      <c r="D63" s="221">
        <f>SUM(D60:D62)</f>
        <v>0</v>
      </c>
      <c r="E63" s="221">
        <f>SUM(E60:E62)</f>
        <v>0</v>
      </c>
      <c r="F63" s="221">
        <f t="shared" ref="F63:J63" si="1">SUM(F60:F62)</f>
        <v>0</v>
      </c>
      <c r="G63" s="221">
        <f t="shared" si="1"/>
        <v>0</v>
      </c>
      <c r="H63" s="221">
        <f t="shared" si="1"/>
        <v>0</v>
      </c>
      <c r="I63" s="221">
        <f t="shared" si="1"/>
        <v>0</v>
      </c>
      <c r="J63" s="221">
        <f t="shared" si="1"/>
        <v>0</v>
      </c>
      <c r="K63" s="176"/>
      <c r="L63" s="176"/>
      <c r="M63" s="176"/>
      <c r="N63" s="176"/>
      <c r="O63" s="144"/>
    </row>
    <row r="64" spans="1:15" ht="18.75" customHeight="1">
      <c r="B64" s="778" t="s">
        <v>994</v>
      </c>
      <c r="C64" s="778"/>
      <c r="D64" s="778"/>
      <c r="E64" s="778"/>
      <c r="F64" s="778"/>
      <c r="G64" s="778"/>
      <c r="H64" s="778"/>
      <c r="I64" s="778"/>
      <c r="J64" s="778"/>
      <c r="K64" s="778"/>
      <c r="L64" s="132"/>
      <c r="M64" s="132"/>
      <c r="N64" s="132"/>
    </row>
    <row r="65" spans="1:14" ht="18.75" customHeight="1"/>
    <row r="66" spans="1:14" ht="23.25" customHeight="1">
      <c r="B66" s="32" t="s">
        <v>1025</v>
      </c>
      <c r="C66" s="32"/>
      <c r="D66" s="32"/>
      <c r="E66" s="32"/>
      <c r="F66" s="32"/>
      <c r="G66" s="32"/>
      <c r="H66" s="32"/>
      <c r="I66" s="32"/>
      <c r="J66" s="32"/>
      <c r="K66" s="32"/>
      <c r="L66" s="32"/>
      <c r="M66" s="32"/>
      <c r="N66" s="32"/>
    </row>
    <row r="67" spans="1:14" ht="17.25">
      <c r="B67" s="842" t="s">
        <v>325</v>
      </c>
      <c r="C67" s="842"/>
      <c r="D67" s="842"/>
      <c r="E67" s="842"/>
      <c r="F67" s="842"/>
      <c r="G67" s="842"/>
      <c r="H67" s="842"/>
      <c r="I67" s="842"/>
      <c r="J67" s="842"/>
      <c r="K67" s="842"/>
      <c r="M67" s="32"/>
    </row>
    <row r="69" spans="1:14" s="15" customFormat="1" ht="15" hidden="1" customHeight="1">
      <c r="A69" s="6" t="s">
        <v>693</v>
      </c>
      <c r="C69" s="798" t="s">
        <v>323</v>
      </c>
      <c r="D69" s="799"/>
      <c r="E69" s="800" t="str">
        <f>IF(C10="","",C10)</f>
        <v/>
      </c>
      <c r="F69" s="801"/>
      <c r="G69" s="801"/>
      <c r="H69" s="801"/>
      <c r="I69" s="801"/>
      <c r="J69" s="654" t="s">
        <v>322</v>
      </c>
      <c r="K69" s="655"/>
      <c r="L69" s="802">
        <f>D10</f>
        <v>0</v>
      </c>
      <c r="M69" s="803"/>
      <c r="N69" s="222"/>
    </row>
    <row r="70" spans="1:14" ht="45" hidden="1" customHeight="1">
      <c r="C70" s="654" t="s">
        <v>995</v>
      </c>
      <c r="D70" s="655"/>
      <c r="E70" s="808"/>
      <c r="F70" s="809"/>
      <c r="G70" s="809"/>
      <c r="H70" s="809"/>
      <c r="I70" s="809"/>
      <c r="J70" s="809"/>
      <c r="K70" s="809"/>
      <c r="L70" s="809"/>
      <c r="M70" s="809"/>
      <c r="N70" s="144"/>
    </row>
    <row r="71" spans="1:14" ht="60" hidden="1"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11"/>
      <c r="E71" s="398" t="s">
        <v>240</v>
      </c>
      <c r="F71" s="632"/>
      <c r="G71" s="633"/>
      <c r="H71" s="633"/>
      <c r="I71" s="633"/>
      <c r="J71" s="633"/>
      <c r="K71" s="633"/>
      <c r="L71" s="633"/>
      <c r="M71" s="724"/>
      <c r="N71" s="144"/>
    </row>
    <row r="72" spans="1:14" ht="15" hidden="1"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hidden="1" customHeight="1">
      <c r="C73" s="826"/>
      <c r="D73" s="827"/>
      <c r="E73" s="411"/>
      <c r="F73" s="411"/>
      <c r="G73" s="411"/>
      <c r="H73" s="411"/>
      <c r="I73" s="411"/>
      <c r="J73" s="411"/>
      <c r="K73" s="411"/>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45" hidden="1"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20"/>
      <c r="F81" s="809"/>
      <c r="G81" s="809"/>
      <c r="H81" s="809"/>
      <c r="I81" s="809"/>
      <c r="J81" s="809"/>
      <c r="K81" s="809"/>
      <c r="L81" s="809"/>
      <c r="M81" s="809"/>
      <c r="N81" s="144"/>
    </row>
    <row r="82" spans="1:14" hidden="1">
      <c r="C82" s="654" t="s">
        <v>996</v>
      </c>
      <c r="D82" s="655"/>
      <c r="E82" s="189" t="s">
        <v>240</v>
      </c>
      <c r="F82" s="806"/>
      <c r="G82" s="807"/>
      <c r="H82" s="807"/>
      <c r="I82" s="807"/>
      <c r="J82" s="807"/>
      <c r="K82" s="807"/>
      <c r="L82" s="807"/>
      <c r="M82" s="807"/>
      <c r="N82" s="144"/>
    </row>
    <row r="83" spans="1:14" hidden="1">
      <c r="C83" s="654" t="s">
        <v>326</v>
      </c>
      <c r="D83" s="655"/>
      <c r="E83" s="189" t="s">
        <v>240</v>
      </c>
      <c r="F83" s="806"/>
      <c r="G83" s="807"/>
      <c r="H83" s="807"/>
      <c r="I83" s="807"/>
      <c r="J83" s="807"/>
      <c r="K83" s="807"/>
      <c r="L83" s="807"/>
      <c r="M83" s="807"/>
      <c r="N83" s="144"/>
    </row>
    <row r="84" spans="1:14" hidden="1">
      <c r="C84" s="804" t="s">
        <v>997</v>
      </c>
      <c r="D84" s="805"/>
      <c r="E84" s="189" t="s">
        <v>240</v>
      </c>
      <c r="F84" s="806"/>
      <c r="G84" s="807"/>
      <c r="H84" s="807"/>
      <c r="I84" s="807"/>
      <c r="J84" s="807"/>
      <c r="K84" s="807"/>
      <c r="L84" s="807"/>
      <c r="M84" s="807"/>
      <c r="N84" s="144"/>
    </row>
    <row r="85" spans="1:14" ht="30" hidden="1" customHeight="1">
      <c r="C85" s="804" t="s">
        <v>327</v>
      </c>
      <c r="D85" s="805"/>
      <c r="E85" s="189" t="s">
        <v>240</v>
      </c>
      <c r="F85" s="806"/>
      <c r="G85" s="807"/>
      <c r="H85" s="807"/>
      <c r="I85" s="807"/>
      <c r="J85" s="807"/>
      <c r="K85" s="807"/>
      <c r="L85" s="807"/>
      <c r="M85" s="807"/>
      <c r="N85" s="181"/>
    </row>
    <row r="86" spans="1:14" ht="9" hidden="1" customHeight="1">
      <c r="C86" s="132"/>
      <c r="D86" s="132"/>
      <c r="E86" s="132"/>
      <c r="F86" s="132"/>
      <c r="G86" s="132"/>
      <c r="H86" s="132"/>
      <c r="I86" s="132"/>
      <c r="J86" s="132"/>
      <c r="K86" s="132"/>
      <c r="L86" s="132"/>
      <c r="M86" s="132"/>
    </row>
    <row r="87" spans="1:14" hidden="1">
      <c r="B87"/>
      <c r="C87"/>
      <c r="D87"/>
      <c r="E87"/>
      <c r="F87"/>
      <c r="G87"/>
      <c r="H87"/>
      <c r="I87"/>
      <c r="J87"/>
      <c r="K87"/>
      <c r="L87"/>
      <c r="M87"/>
    </row>
    <row r="88" spans="1:14" s="15" customFormat="1" ht="15" hidden="1" customHeight="1">
      <c r="A88" s="6" t="s">
        <v>693</v>
      </c>
      <c r="C88" s="798" t="s">
        <v>644</v>
      </c>
      <c r="D88" s="799"/>
      <c r="E88" s="800" t="str">
        <f>IF(C11="","",C11)</f>
        <v/>
      </c>
      <c r="F88" s="801"/>
      <c r="G88" s="801"/>
      <c r="H88" s="801"/>
      <c r="I88" s="801"/>
      <c r="J88" s="654" t="s">
        <v>322</v>
      </c>
      <c r="K88" s="655"/>
      <c r="L88" s="802">
        <f>D11</f>
        <v>0</v>
      </c>
      <c r="M88" s="803"/>
      <c r="N88" s="222"/>
    </row>
    <row r="89" spans="1:14" ht="45" hidden="1" customHeight="1">
      <c r="C89" s="654" t="s">
        <v>995</v>
      </c>
      <c r="D89" s="655"/>
      <c r="E89" s="808"/>
      <c r="F89" s="809"/>
      <c r="G89" s="809"/>
      <c r="H89" s="809"/>
      <c r="I89" s="809"/>
      <c r="J89" s="809"/>
      <c r="K89" s="809"/>
      <c r="L89" s="809"/>
      <c r="M89" s="809"/>
      <c r="N89" s="144"/>
    </row>
    <row r="90" spans="1:14" ht="60" hidden="1"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1"/>
      <c r="E90" s="398" t="s">
        <v>240</v>
      </c>
      <c r="F90" s="632"/>
      <c r="G90" s="633"/>
      <c r="H90" s="633"/>
      <c r="I90" s="633"/>
      <c r="J90" s="633"/>
      <c r="K90" s="633"/>
      <c r="L90" s="633"/>
      <c r="M90" s="724"/>
      <c r="N90" s="144"/>
    </row>
    <row r="91" spans="1:14" ht="15" hidden="1"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hidden="1" customHeight="1">
      <c r="C92" s="826"/>
      <c r="D92" s="827"/>
      <c r="E92" s="411"/>
      <c r="F92" s="411"/>
      <c r="G92" s="411"/>
      <c r="H92" s="411"/>
      <c r="I92" s="411"/>
      <c r="J92" s="411"/>
      <c r="K92" s="411"/>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45" hidden="1"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20"/>
      <c r="F100" s="809"/>
      <c r="G100" s="809"/>
      <c r="H100" s="809"/>
      <c r="I100" s="809"/>
      <c r="J100" s="809"/>
      <c r="K100" s="809"/>
      <c r="L100" s="809"/>
      <c r="M100" s="809"/>
      <c r="N100" s="144"/>
    </row>
    <row r="101" spans="1:14" hidden="1">
      <c r="C101" s="654" t="s">
        <v>996</v>
      </c>
      <c r="D101" s="655"/>
      <c r="E101" s="189" t="s">
        <v>240</v>
      </c>
      <c r="F101" s="806"/>
      <c r="G101" s="807"/>
      <c r="H101" s="807"/>
      <c r="I101" s="807"/>
      <c r="J101" s="807"/>
      <c r="K101" s="807"/>
      <c r="L101" s="807"/>
      <c r="M101" s="807"/>
      <c r="N101" s="144"/>
    </row>
    <row r="102" spans="1:14" hidden="1">
      <c r="C102" s="654" t="s">
        <v>326</v>
      </c>
      <c r="D102" s="655"/>
      <c r="E102" s="189" t="s">
        <v>240</v>
      </c>
      <c r="F102" s="806"/>
      <c r="G102" s="807"/>
      <c r="H102" s="807"/>
      <c r="I102" s="807"/>
      <c r="J102" s="807"/>
      <c r="K102" s="807"/>
      <c r="L102" s="807"/>
      <c r="M102" s="807"/>
      <c r="N102" s="144"/>
    </row>
    <row r="103" spans="1:14" ht="15" hidden="1" customHeight="1">
      <c r="C103" s="804" t="s">
        <v>997</v>
      </c>
      <c r="D103" s="805"/>
      <c r="E103" s="189" t="s">
        <v>240</v>
      </c>
      <c r="F103" s="806"/>
      <c r="G103" s="807"/>
      <c r="H103" s="807"/>
      <c r="I103" s="807"/>
      <c r="J103" s="807"/>
      <c r="K103" s="807"/>
      <c r="L103" s="807"/>
      <c r="M103" s="807"/>
      <c r="N103" s="144"/>
    </row>
    <row r="104" spans="1:14" ht="30" hidden="1" customHeight="1">
      <c r="C104" s="804" t="s">
        <v>327</v>
      </c>
      <c r="D104" s="805"/>
      <c r="E104" s="189" t="s">
        <v>240</v>
      </c>
      <c r="F104" s="806"/>
      <c r="G104" s="807"/>
      <c r="H104" s="807"/>
      <c r="I104" s="807"/>
      <c r="J104" s="807"/>
      <c r="K104" s="807"/>
      <c r="L104" s="807"/>
      <c r="M104" s="807"/>
      <c r="N104" s="181"/>
    </row>
    <row r="105" spans="1:14" ht="9" hidden="1" customHeight="1">
      <c r="C105" s="132"/>
      <c r="D105" s="132"/>
      <c r="E105" s="132"/>
      <c r="F105" s="132"/>
      <c r="G105" s="132"/>
      <c r="H105" s="132"/>
      <c r="I105" s="132"/>
      <c r="J105" s="132"/>
      <c r="K105" s="132"/>
      <c r="L105" s="132"/>
      <c r="M105" s="132"/>
    </row>
    <row r="106" spans="1:14" hidden="1">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8" spans="2:15" hidden="1"/>
    <row r="1019" spans="2:15" ht="17.25">
      <c r="B1019" s="32" t="s">
        <v>1026</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1676</v>
      </c>
      <c r="C1021" s="32"/>
      <c r="D1021" s="32"/>
      <c r="E1021" s="32"/>
      <c r="F1021" s="32"/>
      <c r="G1021" s="32"/>
      <c r="H1021" s="32"/>
      <c r="I1021" s="32"/>
      <c r="J1021" s="32"/>
      <c r="K1021" s="32"/>
      <c r="L1021" s="32"/>
      <c r="M1021" s="32"/>
      <c r="N1021" s="32"/>
    </row>
    <row r="1022" spans="2:15" ht="15" customHeight="1"/>
    <row r="1023" spans="2:15" ht="99.75" customHeight="1">
      <c r="B1023" s="758"/>
      <c r="C1023" s="759"/>
      <c r="D1023" s="759"/>
      <c r="E1023" s="759"/>
      <c r="F1023" s="759"/>
      <c r="G1023" s="759"/>
      <c r="H1023" s="759"/>
      <c r="I1023" s="759"/>
      <c r="J1023" s="759"/>
      <c r="K1023" s="759"/>
      <c r="L1023" s="759"/>
      <c r="M1023" s="759"/>
      <c r="N1023" s="768"/>
      <c r="O1023" s="144"/>
    </row>
    <row r="1024" spans="2:15" ht="17.25">
      <c r="B1024" s="32"/>
      <c r="C1024" s="32"/>
      <c r="D1024" s="32"/>
      <c r="E1024" s="32"/>
      <c r="F1024" s="32"/>
      <c r="G1024" s="32"/>
      <c r="H1024" s="32"/>
      <c r="I1024" s="32"/>
      <c r="J1024" s="32"/>
      <c r="K1024" s="32"/>
      <c r="L1024" s="32"/>
      <c r="M1024" s="32"/>
      <c r="N1024" s="32"/>
    </row>
    <row r="1025" spans="2:14" ht="17.25">
      <c r="B1025" s="50" t="s">
        <v>1677</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857" t="s">
        <v>1667</v>
      </c>
      <c r="E1027" s="857"/>
      <c r="F1027" s="857"/>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313">
        <v>2020</v>
      </c>
      <c r="G1030" s="313">
        <v>2021</v>
      </c>
      <c r="H1030" s="313">
        <v>2022</v>
      </c>
      <c r="I1030" s="313">
        <v>2023</v>
      </c>
      <c r="J1030" s="313">
        <v>2024</v>
      </c>
      <c r="K1030" s="795"/>
      <c r="L1030" s="796"/>
      <c r="M1030" s="796"/>
      <c r="N1030" s="797"/>
    </row>
    <row r="1031" spans="2:14" hidden="1">
      <c r="B1031" s="403">
        <v>1</v>
      </c>
      <c r="C1031" s="401"/>
      <c r="D1031" s="205"/>
      <c r="E1031" s="205"/>
      <c r="F1031" s="402"/>
      <c r="G1031" s="402"/>
      <c r="H1031" s="402"/>
      <c r="I1031" s="402"/>
      <c r="J1031" s="402"/>
      <c r="K1031" s="790"/>
      <c r="L1031" s="791"/>
      <c r="M1031" s="791"/>
      <c r="N1031" s="792"/>
    </row>
    <row r="1032" spans="2:14" hidden="1">
      <c r="B1032" s="403">
        <v>2</v>
      </c>
      <c r="C1032" s="401"/>
      <c r="D1032" s="205"/>
      <c r="E1032" s="205"/>
      <c r="F1032" s="402"/>
      <c r="G1032" s="402"/>
      <c r="H1032" s="402"/>
      <c r="I1032" s="402"/>
      <c r="J1032" s="402"/>
      <c r="K1032" s="790"/>
      <c r="L1032" s="791"/>
      <c r="M1032" s="791"/>
      <c r="N1032" s="792"/>
    </row>
    <row r="1033" spans="2:14" hidden="1">
      <c r="B1033" s="403">
        <v>3</v>
      </c>
      <c r="C1033" s="401"/>
      <c r="D1033" s="205"/>
      <c r="E1033" s="205"/>
      <c r="F1033" s="402"/>
      <c r="G1033" s="402"/>
      <c r="H1033" s="402"/>
      <c r="I1033" s="402"/>
      <c r="J1033" s="402"/>
      <c r="K1033" s="790"/>
      <c r="L1033" s="791"/>
      <c r="M1033" s="791"/>
      <c r="N1033" s="792"/>
    </row>
    <row r="1034" spans="2:14" hidden="1">
      <c r="B1034" s="403">
        <v>4</v>
      </c>
      <c r="C1034" s="401"/>
      <c r="D1034" s="205"/>
      <c r="E1034" s="205"/>
      <c r="F1034" s="402"/>
      <c r="G1034" s="402"/>
      <c r="H1034" s="402"/>
      <c r="I1034" s="402"/>
      <c r="J1034" s="402"/>
      <c r="K1034" s="790"/>
      <c r="L1034" s="791"/>
      <c r="M1034" s="791"/>
      <c r="N1034" s="792"/>
    </row>
    <row r="1035" spans="2:14" hidden="1">
      <c r="B1035" s="403">
        <v>5</v>
      </c>
      <c r="C1035" s="401"/>
      <c r="D1035" s="205"/>
      <c r="E1035" s="205"/>
      <c r="F1035" s="402"/>
      <c r="G1035" s="402"/>
      <c r="H1035" s="402"/>
      <c r="I1035" s="402"/>
      <c r="J1035" s="402"/>
      <c r="K1035" s="790"/>
      <c r="L1035" s="791"/>
      <c r="M1035" s="791"/>
      <c r="N1035" s="792"/>
    </row>
    <row r="1036" spans="2:14" hidden="1">
      <c r="B1036" s="403">
        <v>6</v>
      </c>
      <c r="C1036" s="401"/>
      <c r="D1036" s="205"/>
      <c r="E1036" s="205"/>
      <c r="F1036" s="402"/>
      <c r="G1036" s="402"/>
      <c r="H1036" s="402"/>
      <c r="I1036" s="402"/>
      <c r="J1036" s="402"/>
      <c r="K1036" s="790"/>
      <c r="L1036" s="791"/>
      <c r="M1036" s="791"/>
      <c r="N1036" s="792"/>
    </row>
    <row r="1037" spans="2:14" hidden="1">
      <c r="B1037" s="403">
        <v>7</v>
      </c>
      <c r="C1037" s="401"/>
      <c r="D1037" s="205"/>
      <c r="E1037" s="205"/>
      <c r="F1037" s="402"/>
      <c r="G1037" s="402"/>
      <c r="H1037" s="402"/>
      <c r="I1037" s="402"/>
      <c r="J1037" s="402"/>
      <c r="K1037" s="790"/>
      <c r="L1037" s="791"/>
      <c r="M1037" s="791"/>
      <c r="N1037" s="792"/>
    </row>
    <row r="1038" spans="2:14" hidden="1">
      <c r="B1038" s="403">
        <v>8</v>
      </c>
      <c r="C1038" s="401"/>
      <c r="D1038" s="205"/>
      <c r="E1038" s="205"/>
      <c r="F1038" s="402"/>
      <c r="G1038" s="402"/>
      <c r="H1038" s="402"/>
      <c r="I1038" s="402"/>
      <c r="J1038" s="402"/>
      <c r="K1038" s="790"/>
      <c r="L1038" s="791"/>
      <c r="M1038" s="791"/>
      <c r="N1038" s="792"/>
    </row>
    <row r="1039" spans="2:14" hidden="1">
      <c r="B1039" s="403">
        <v>9</v>
      </c>
      <c r="C1039" s="401"/>
      <c r="D1039" s="205"/>
      <c r="E1039" s="205"/>
      <c r="F1039" s="402"/>
      <c r="G1039" s="402"/>
      <c r="H1039" s="402"/>
      <c r="I1039" s="402"/>
      <c r="J1039" s="402"/>
      <c r="K1039" s="790"/>
      <c r="L1039" s="791"/>
      <c r="M1039" s="791"/>
      <c r="N1039" s="792"/>
    </row>
    <row r="1040" spans="2:14" hidden="1">
      <c r="B1040" s="403">
        <v>10</v>
      </c>
      <c r="C1040" s="401"/>
      <c r="D1040" s="205"/>
      <c r="E1040" s="205"/>
      <c r="F1040" s="402"/>
      <c r="G1040" s="402"/>
      <c r="H1040" s="402"/>
      <c r="I1040" s="402"/>
      <c r="J1040" s="402"/>
      <c r="K1040" s="790"/>
      <c r="L1040" s="791"/>
      <c r="M1040" s="791"/>
      <c r="N1040" s="792"/>
    </row>
    <row r="1041" spans="2:14" hidden="1">
      <c r="B1041" s="403">
        <v>11</v>
      </c>
      <c r="C1041" s="401"/>
      <c r="D1041" s="205"/>
      <c r="E1041" s="205"/>
      <c r="F1041" s="402"/>
      <c r="G1041" s="402"/>
      <c r="H1041" s="402"/>
      <c r="I1041" s="402"/>
      <c r="J1041" s="402"/>
      <c r="K1041" s="790"/>
      <c r="L1041" s="791"/>
      <c r="M1041" s="791"/>
      <c r="N1041" s="792"/>
    </row>
    <row r="1042" spans="2:14" hidden="1">
      <c r="B1042" s="403">
        <v>12</v>
      </c>
      <c r="C1042" s="401"/>
      <c r="D1042" s="205"/>
      <c r="E1042" s="205"/>
      <c r="F1042" s="402"/>
      <c r="G1042" s="402"/>
      <c r="H1042" s="402"/>
      <c r="I1042" s="402"/>
      <c r="J1042" s="402"/>
      <c r="K1042" s="790"/>
      <c r="L1042" s="791"/>
      <c r="M1042" s="791"/>
      <c r="N1042" s="792"/>
    </row>
    <row r="1043" spans="2:14" hidden="1">
      <c r="B1043" s="403">
        <v>13</v>
      </c>
      <c r="C1043" s="401"/>
      <c r="D1043" s="205"/>
      <c r="E1043" s="205"/>
      <c r="F1043" s="402"/>
      <c r="G1043" s="402"/>
      <c r="H1043" s="402"/>
      <c r="I1043" s="402"/>
      <c r="J1043" s="402"/>
      <c r="K1043" s="790"/>
      <c r="L1043" s="791"/>
      <c r="M1043" s="791"/>
      <c r="N1043" s="792"/>
    </row>
    <row r="1044" spans="2:14" hidden="1">
      <c r="B1044" s="403">
        <v>14</v>
      </c>
      <c r="C1044" s="401"/>
      <c r="D1044" s="205"/>
      <c r="E1044" s="205"/>
      <c r="F1044" s="402"/>
      <c r="G1044" s="402"/>
      <c r="H1044" s="402"/>
      <c r="I1044" s="402"/>
      <c r="J1044" s="402"/>
      <c r="K1044" s="790"/>
      <c r="L1044" s="791"/>
      <c r="M1044" s="791"/>
      <c r="N1044" s="792"/>
    </row>
    <row r="1045" spans="2:14" hidden="1">
      <c r="B1045" s="403">
        <v>15</v>
      </c>
      <c r="C1045" s="401"/>
      <c r="D1045" s="205"/>
      <c r="E1045" s="205"/>
      <c r="F1045" s="402"/>
      <c r="G1045" s="402"/>
      <c r="H1045" s="402"/>
      <c r="I1045" s="402"/>
      <c r="J1045" s="402"/>
      <c r="K1045" s="790"/>
      <c r="L1045" s="791"/>
      <c r="M1045" s="791"/>
      <c r="N1045" s="792"/>
    </row>
    <row r="1046" spans="2:14" hidden="1">
      <c r="B1046" s="403">
        <v>16</v>
      </c>
      <c r="C1046" s="401"/>
      <c r="D1046" s="205"/>
      <c r="E1046" s="205"/>
      <c r="F1046" s="402"/>
      <c r="G1046" s="402"/>
      <c r="H1046" s="402"/>
      <c r="I1046" s="402"/>
      <c r="J1046" s="402"/>
      <c r="K1046" s="790"/>
      <c r="L1046" s="791"/>
      <c r="M1046" s="791"/>
      <c r="N1046" s="792"/>
    </row>
    <row r="1047" spans="2:14" hidden="1">
      <c r="B1047" s="403">
        <v>17</v>
      </c>
      <c r="C1047" s="401"/>
      <c r="D1047" s="205"/>
      <c r="E1047" s="205"/>
      <c r="F1047" s="402"/>
      <c r="G1047" s="402"/>
      <c r="H1047" s="402"/>
      <c r="I1047" s="402"/>
      <c r="J1047" s="402"/>
      <c r="K1047" s="790"/>
      <c r="L1047" s="791"/>
      <c r="M1047" s="791"/>
      <c r="N1047" s="792"/>
    </row>
    <row r="1048" spans="2:14" hidden="1">
      <c r="B1048" s="403">
        <v>18</v>
      </c>
      <c r="C1048" s="401"/>
      <c r="D1048" s="205"/>
      <c r="E1048" s="205"/>
      <c r="F1048" s="402"/>
      <c r="G1048" s="402"/>
      <c r="H1048" s="402"/>
      <c r="I1048" s="402"/>
      <c r="J1048" s="402"/>
      <c r="K1048" s="790"/>
      <c r="L1048" s="791"/>
      <c r="M1048" s="791"/>
      <c r="N1048" s="792"/>
    </row>
    <row r="1049" spans="2:14" hidden="1">
      <c r="B1049" s="403">
        <v>19</v>
      </c>
      <c r="C1049" s="401"/>
      <c r="D1049" s="205"/>
      <c r="E1049" s="205"/>
      <c r="F1049" s="402"/>
      <c r="G1049" s="402"/>
      <c r="H1049" s="402"/>
      <c r="I1049" s="402"/>
      <c r="J1049" s="402"/>
      <c r="K1049" s="790"/>
      <c r="L1049" s="791"/>
      <c r="M1049" s="791"/>
      <c r="N1049" s="792"/>
    </row>
    <row r="1050" spans="2:14" hidden="1">
      <c r="B1050" s="403">
        <v>20</v>
      </c>
      <c r="C1050" s="401"/>
      <c r="D1050" s="404"/>
      <c r="E1050" s="402"/>
      <c r="F1050" s="402"/>
      <c r="G1050" s="402"/>
      <c r="H1050" s="402"/>
      <c r="I1050" s="402"/>
      <c r="J1050" s="402"/>
      <c r="K1050" s="790"/>
      <c r="L1050" s="791"/>
      <c r="M1050" s="791"/>
      <c r="N1050" s="792"/>
    </row>
    <row r="1051" spans="2:14" ht="15" customHeight="1">
      <c r="B1051" s="132"/>
      <c r="C1051" s="132"/>
      <c r="D1051" s="132"/>
      <c r="E1051" s="132"/>
      <c r="F1051" s="132"/>
      <c r="G1051" s="132"/>
      <c r="H1051" s="132"/>
      <c r="I1051" s="132"/>
      <c r="J1051" s="132"/>
      <c r="K1051" s="132"/>
      <c r="L1051" s="132"/>
      <c r="M1051" s="132"/>
      <c r="N1051" s="132"/>
    </row>
    <row r="1052" spans="2:14" ht="15" customHeight="1">
      <c r="F1052" s="455"/>
      <c r="G1052" s="455"/>
      <c r="H1052" s="455"/>
      <c r="I1052" s="455"/>
      <c r="J1052" s="455"/>
      <c r="K1052" s="455"/>
      <c r="L1052" s="455"/>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093" priority="54">
      <formula>$A$2="PRINT"</formula>
    </cfRule>
  </conditionalFormatting>
  <conditionalFormatting sqref="E71">
    <cfRule type="expression" dxfId="1092" priority="53">
      <formula>$A$2="PRINT"</formula>
    </cfRule>
  </conditionalFormatting>
  <conditionalFormatting sqref="E90">
    <cfRule type="expression" dxfId="1091" priority="52">
      <formula>$A$2="PRINT"</formula>
    </cfRule>
  </conditionalFormatting>
  <conditionalFormatting sqref="E109">
    <cfRule type="expression" dxfId="1090" priority="51">
      <formula>$A$2="PRINT"</formula>
    </cfRule>
  </conditionalFormatting>
  <conditionalFormatting sqref="E128">
    <cfRule type="expression" dxfId="1089" priority="50">
      <formula>$A$2="PRINT"</formula>
    </cfRule>
  </conditionalFormatting>
  <conditionalFormatting sqref="E147">
    <cfRule type="expression" dxfId="1088" priority="49">
      <formula>$A$2="PRINT"</formula>
    </cfRule>
  </conditionalFormatting>
  <conditionalFormatting sqref="E166">
    <cfRule type="expression" dxfId="1087" priority="48">
      <formula>$A$2="PRINT"</formula>
    </cfRule>
  </conditionalFormatting>
  <conditionalFormatting sqref="E185">
    <cfRule type="expression" dxfId="1086" priority="47">
      <formula>$A$2="PRINT"</formula>
    </cfRule>
  </conditionalFormatting>
  <conditionalFormatting sqref="E204">
    <cfRule type="expression" dxfId="1085" priority="46">
      <formula>$A$2="PRINT"</formula>
    </cfRule>
  </conditionalFormatting>
  <conditionalFormatting sqref="E223">
    <cfRule type="expression" dxfId="1084" priority="45">
      <formula>$A$2="PRINT"</formula>
    </cfRule>
  </conditionalFormatting>
  <conditionalFormatting sqref="E242">
    <cfRule type="expression" dxfId="1083" priority="44">
      <formula>$A$2="PRINT"</formula>
    </cfRule>
  </conditionalFormatting>
  <conditionalFormatting sqref="E261">
    <cfRule type="expression" dxfId="1082" priority="43">
      <formula>$A$2="PRINT"</formula>
    </cfRule>
  </conditionalFormatting>
  <conditionalFormatting sqref="E280">
    <cfRule type="expression" dxfId="1081" priority="42">
      <formula>$A$2="PRINT"</formula>
    </cfRule>
  </conditionalFormatting>
  <conditionalFormatting sqref="E299">
    <cfRule type="expression" dxfId="1080" priority="41">
      <formula>$A$2="PRINT"</formula>
    </cfRule>
  </conditionalFormatting>
  <conditionalFormatting sqref="E318">
    <cfRule type="expression" dxfId="1079" priority="40">
      <formula>$A$2="PRINT"</formula>
    </cfRule>
  </conditionalFormatting>
  <conditionalFormatting sqref="E337">
    <cfRule type="expression" dxfId="1078" priority="39">
      <formula>$A$2="PRINT"</formula>
    </cfRule>
  </conditionalFormatting>
  <conditionalFormatting sqref="E356">
    <cfRule type="expression" dxfId="1077" priority="38">
      <formula>$A$2="PRINT"</formula>
    </cfRule>
  </conditionalFormatting>
  <conditionalFormatting sqref="E375">
    <cfRule type="expression" dxfId="1076" priority="37">
      <formula>$A$2="PRINT"</formula>
    </cfRule>
  </conditionalFormatting>
  <conditionalFormatting sqref="E394">
    <cfRule type="expression" dxfId="1075" priority="36">
      <formula>$A$2="PRINT"</formula>
    </cfRule>
  </conditionalFormatting>
  <conditionalFormatting sqref="E413">
    <cfRule type="expression" dxfId="1074" priority="35">
      <formula>$A$2="PRINT"</formula>
    </cfRule>
  </conditionalFormatting>
  <conditionalFormatting sqref="E432">
    <cfRule type="expression" dxfId="1073" priority="34">
      <formula>$A$2="PRINT"</formula>
    </cfRule>
  </conditionalFormatting>
  <conditionalFormatting sqref="E451">
    <cfRule type="expression" dxfId="1072" priority="33">
      <formula>$A$2="PRINT"</formula>
    </cfRule>
  </conditionalFormatting>
  <conditionalFormatting sqref="E470">
    <cfRule type="expression" dxfId="1071" priority="32">
      <formula>$A$2="PRINT"</formula>
    </cfRule>
  </conditionalFormatting>
  <conditionalFormatting sqref="E489">
    <cfRule type="expression" dxfId="1070" priority="31">
      <formula>$A$2="PRINT"</formula>
    </cfRule>
  </conditionalFormatting>
  <conditionalFormatting sqref="E508">
    <cfRule type="expression" dxfId="1069" priority="30">
      <formula>$A$2="PRINT"</formula>
    </cfRule>
  </conditionalFormatting>
  <conditionalFormatting sqref="E527">
    <cfRule type="expression" dxfId="1068" priority="29">
      <formula>$A$2="PRINT"</formula>
    </cfRule>
  </conditionalFormatting>
  <conditionalFormatting sqref="E546">
    <cfRule type="expression" dxfId="1067" priority="28">
      <formula>$A$2="PRINT"</formula>
    </cfRule>
  </conditionalFormatting>
  <conditionalFormatting sqref="E565">
    <cfRule type="expression" dxfId="1066" priority="27">
      <formula>$A$2="PRINT"</formula>
    </cfRule>
  </conditionalFormatting>
  <conditionalFormatting sqref="E584">
    <cfRule type="expression" dxfId="1065" priority="26">
      <formula>$A$2="PRINT"</formula>
    </cfRule>
  </conditionalFormatting>
  <conditionalFormatting sqref="E603">
    <cfRule type="expression" dxfId="1064" priority="25">
      <formula>$A$2="PRINT"</formula>
    </cfRule>
  </conditionalFormatting>
  <conditionalFormatting sqref="E622">
    <cfRule type="expression" dxfId="1063" priority="24">
      <formula>$A$2="PRINT"</formula>
    </cfRule>
  </conditionalFormatting>
  <conditionalFormatting sqref="E641">
    <cfRule type="expression" dxfId="1062" priority="23">
      <formula>$A$2="PRINT"</formula>
    </cfRule>
  </conditionalFormatting>
  <conditionalFormatting sqref="E660">
    <cfRule type="expression" dxfId="1061" priority="22">
      <formula>$A$2="PRINT"</formula>
    </cfRule>
  </conditionalFormatting>
  <conditionalFormatting sqref="E679">
    <cfRule type="expression" dxfId="1060" priority="21">
      <formula>$A$2="PRINT"</formula>
    </cfRule>
  </conditionalFormatting>
  <conditionalFormatting sqref="E698">
    <cfRule type="expression" dxfId="1059" priority="20">
      <formula>$A$2="PRINT"</formula>
    </cfRule>
  </conditionalFormatting>
  <conditionalFormatting sqref="E717">
    <cfRule type="expression" dxfId="1058" priority="19">
      <formula>$A$2="PRINT"</formula>
    </cfRule>
  </conditionalFormatting>
  <conditionalFormatting sqref="E736">
    <cfRule type="expression" dxfId="1057" priority="18">
      <formula>$A$2="PRINT"</formula>
    </cfRule>
  </conditionalFormatting>
  <conditionalFormatting sqref="E755">
    <cfRule type="expression" dxfId="1056" priority="17">
      <formula>$A$2="PRINT"</formula>
    </cfRule>
  </conditionalFormatting>
  <conditionalFormatting sqref="E774">
    <cfRule type="expression" dxfId="1055" priority="16">
      <formula>$A$2="PRINT"</formula>
    </cfRule>
  </conditionalFormatting>
  <conditionalFormatting sqref="E793">
    <cfRule type="expression" dxfId="1054" priority="15">
      <formula>$A$2="PRINT"</formula>
    </cfRule>
  </conditionalFormatting>
  <conditionalFormatting sqref="E812">
    <cfRule type="expression" dxfId="1053" priority="14">
      <formula>$A$2="PRINT"</formula>
    </cfRule>
  </conditionalFormatting>
  <conditionalFormatting sqref="E831">
    <cfRule type="expression" dxfId="1052" priority="13">
      <formula>$A$2="PRINT"</formula>
    </cfRule>
  </conditionalFormatting>
  <conditionalFormatting sqref="E850">
    <cfRule type="expression" dxfId="1051" priority="12">
      <formula>$A$2="PRINT"</formula>
    </cfRule>
  </conditionalFormatting>
  <conditionalFormatting sqref="E869">
    <cfRule type="expression" dxfId="1050" priority="11">
      <formula>$A$2="PRINT"</formula>
    </cfRule>
  </conditionalFormatting>
  <conditionalFormatting sqref="E888">
    <cfRule type="expression" dxfId="1049" priority="10">
      <formula>$A$2="PRINT"</formula>
    </cfRule>
  </conditionalFormatting>
  <conditionalFormatting sqref="E907">
    <cfRule type="expression" dxfId="1048" priority="9">
      <formula>$A$2="PRINT"</formula>
    </cfRule>
  </conditionalFormatting>
  <conditionalFormatting sqref="E926">
    <cfRule type="expression" dxfId="1047" priority="8">
      <formula>$A$2="PRINT"</formula>
    </cfRule>
  </conditionalFormatting>
  <conditionalFormatting sqref="E945">
    <cfRule type="expression" dxfId="1046" priority="7">
      <formula>$A$2="PRINT"</formula>
    </cfRule>
  </conditionalFormatting>
  <conditionalFormatting sqref="E964">
    <cfRule type="expression" dxfId="1045" priority="6">
      <formula>$A$2="PRINT"</formula>
    </cfRule>
  </conditionalFormatting>
  <conditionalFormatting sqref="E983">
    <cfRule type="expression" dxfId="1044" priority="5">
      <formula>$A$2="PRINT"</formula>
    </cfRule>
  </conditionalFormatting>
  <conditionalFormatting sqref="E1002">
    <cfRule type="expression" dxfId="1043" priority="4">
      <formula>$A$2="PRINT"</formula>
    </cfRule>
  </conditionalFormatting>
  <conditionalFormatting sqref="B1031 B1033 B1035 B1037 B1039 B1041 B1043 B1045 B1047 B1049:B1050">
    <cfRule type="expression" dxfId="1042" priority="3">
      <formula>$A$2="PRINT"</formula>
    </cfRule>
  </conditionalFormatting>
  <conditionalFormatting sqref="B1032 B1034 B1036 B1038 B1040 B1042 B1044 B1046 B1048">
    <cfRule type="expression" dxfId="1041" priority="2">
      <formula>$A$2="PRINT"</formula>
    </cfRule>
  </conditionalFormatting>
  <conditionalFormatting sqref="D1027:F1027">
    <cfRule type="expression" dxfId="1040" priority="1">
      <formula>$A$2="PRINT"</formula>
    </cfRule>
  </conditionalFormatting>
  <dataValidations count="5">
    <dataValidation type="list" allowBlank="1" showErrorMessage="1" sqref="D1027:F1027" xr:uid="{00000000-0002-0000-1200-000000000000}">
      <formula1>"Click to select number of new other investments,0,1,2,3,4,5,6,7,8,9,10,11,12,13,14,15,16,17,18,19,20"</formula1>
    </dataValidation>
    <dataValidation type="list" allowBlank="1" showErrorMessage="1" sqref="D6:F6" xr:uid="{00000000-0002-0000-12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2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2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200-000004000000}">
      <formula1>"Click to select,Yes,No"</formula1>
    </dataValidation>
  </dataValidations>
  <hyperlinks>
    <hyperlink ref="B10" location="'2.1 Investments_ANSP#1'!B83" tooltip="Go to Project #" display="1" xr:uid="{00000000-0004-0000-1200-000000000000}"/>
    <hyperlink ref="B11" location="'2.1 Investments_ANSP#1'!B102" tooltip="Go to Project #" display="2" xr:uid="{00000000-0004-0000-1200-000001000000}"/>
    <hyperlink ref="B12" location="'2.1 Investments_ANSP#1'!B121" tooltip="Go to Project #" display="3" xr:uid="{00000000-0004-0000-1200-000002000000}"/>
    <hyperlink ref="B13" location="'2.1 Investments_ANSP#1'!B140" tooltip="Go to Project #" display="4" xr:uid="{00000000-0004-0000-1200-000003000000}"/>
    <hyperlink ref="B14" location="'2.1 Investments_ANSP#1'!B159" tooltip="Go to Project #" display="5" xr:uid="{00000000-0004-0000-1200-000004000000}"/>
    <hyperlink ref="B15" location="'2.1 Investments_ANSP#1'!B178" tooltip="Go to Project #" display="6" xr:uid="{00000000-0004-0000-1200-000005000000}"/>
    <hyperlink ref="B16" location="'2.1 Investments_ANSP#1'!B197" tooltip="Go to Project #" display="7" xr:uid="{00000000-0004-0000-1200-000006000000}"/>
    <hyperlink ref="B17" location="'2.1 Investments_ANSP#1'!B216" tooltip="Go to Project #" display="8" xr:uid="{00000000-0004-0000-1200-000007000000}"/>
    <hyperlink ref="B18" location="'2.1 Investments_ANSP#1'!B235" tooltip="Go to Project #" display="9" xr:uid="{00000000-0004-0000-1200-000008000000}"/>
    <hyperlink ref="B19" location="'2.1 Investments_ANSP#1'!B254" tooltip="Go to Project #" display="10" xr:uid="{00000000-0004-0000-1200-000009000000}"/>
    <hyperlink ref="B20" location="'2.1 Investments_ANSP#1'!B273" tooltip="Go to Project #" display="11" xr:uid="{00000000-0004-0000-1200-00000A000000}"/>
    <hyperlink ref="B21" location="'2.1 Investments_ANSP#1'!B292" tooltip="Go to Project #" display="12" xr:uid="{00000000-0004-0000-1200-00000B000000}"/>
    <hyperlink ref="B22" location="'2.1 Investments_ANSP#1'!B311" tooltip="Go to Project #" display="13" xr:uid="{00000000-0004-0000-1200-00000C000000}"/>
    <hyperlink ref="B23" location="'2.1 Investments_ANSP#1'!B330" tooltip="Go to Project #" display="14" xr:uid="{00000000-0004-0000-1200-00000D000000}"/>
    <hyperlink ref="B24" location="'2.1 Investments_ANSP#1'!B349" tooltip="Go to Project #" display="15" xr:uid="{00000000-0004-0000-1200-00000E000000}"/>
    <hyperlink ref="B25" location="'2.1 Investments_ANSP#1'!B368" tooltip="Go to Project #" display="16" xr:uid="{00000000-0004-0000-1200-00000F000000}"/>
    <hyperlink ref="B26" location="'2.1 Investments_ANSP#1'!B387" tooltip="Go to Project #" display="17" xr:uid="{00000000-0004-0000-1200-000010000000}"/>
    <hyperlink ref="B27" location="'2.1 Investments_ANSP#1'!B406" tooltip="Go to Project #" display="18" xr:uid="{00000000-0004-0000-1200-000011000000}"/>
    <hyperlink ref="B28" location="'2.1 Investments_ANSP#1'!B425" tooltip="Go to Project #" display="19" xr:uid="{00000000-0004-0000-1200-000012000000}"/>
    <hyperlink ref="B29" location="'2.1 Investments_ANSP#1'!B444" tooltip="Go to Project #" display="20" xr:uid="{00000000-0004-0000-1200-000013000000}"/>
    <hyperlink ref="B30" location="'2.1 Investments_ANSP#1'!B463" tooltip="Go to Project #" display="21" xr:uid="{00000000-0004-0000-1200-000014000000}"/>
    <hyperlink ref="B31" location="'2.1 Investments_ANSP#1'!B482" tooltip="Go to Project #" display="22" xr:uid="{00000000-0004-0000-1200-000015000000}"/>
    <hyperlink ref="B32" location="'2.1 Investments_ANSP#1'!B501" tooltip="Go to Project #" display="23" xr:uid="{00000000-0004-0000-1200-000016000000}"/>
    <hyperlink ref="B33" location="'2.1 Investments_ANSP#1'!B520" tooltip="Go to Project #" display="24" xr:uid="{00000000-0004-0000-1200-000017000000}"/>
    <hyperlink ref="B34" location="'2.1 Investments_ANSP#1'!B539" tooltip="Go to Project #" display="25" xr:uid="{00000000-0004-0000-1200-000018000000}"/>
    <hyperlink ref="B35" location="'2.1 Investments_ANSP#1'!B558" tooltip="Go to Project #" display="26" xr:uid="{00000000-0004-0000-1200-000019000000}"/>
    <hyperlink ref="B36" location="'2.1 Investments_ANSP#1'!B577" tooltip="Go to Project #" display="27" xr:uid="{00000000-0004-0000-1200-00001A000000}"/>
    <hyperlink ref="B37" location="'2.1 Investments_ANSP#1'!B596" tooltip="Go to Project #" display="28" xr:uid="{00000000-0004-0000-1200-00001B000000}"/>
    <hyperlink ref="B38" location="'2.1 Investments_ANSP#1'!B615" tooltip="Go to Project #" display="29" xr:uid="{00000000-0004-0000-1200-00001C000000}"/>
    <hyperlink ref="B39" location="'2.1 Investments_ANSP#1'!B634" tooltip="Go to Project #" display="30" xr:uid="{00000000-0004-0000-1200-00001D000000}"/>
    <hyperlink ref="B40" location="'2.1 Investments_ANSP#1'!B653" tooltip="Go to Project #" display="31" xr:uid="{00000000-0004-0000-1200-00001E000000}"/>
    <hyperlink ref="B41" location="'2.1 Investments_ANSP#1'!B672" tooltip="Go to Project #" display="32" xr:uid="{00000000-0004-0000-1200-00001F000000}"/>
    <hyperlink ref="B42" location="'2.1 Investments_ANSP#1'!B691" tooltip="Go to Project #" display="33" xr:uid="{00000000-0004-0000-1200-000020000000}"/>
    <hyperlink ref="B43" location="'2.1 Investments_ANSP#1'!B710" tooltip="Go to Project #" display="34" xr:uid="{00000000-0004-0000-1200-000021000000}"/>
    <hyperlink ref="B44" location="'2.1 Investments_ANSP#1'!B729" tooltip="Go to Project #" display="35" xr:uid="{00000000-0004-0000-1200-000022000000}"/>
    <hyperlink ref="B45" location="'2.1 Investments_ANSP#1'!B748" tooltip="Go to Project #" display="36" xr:uid="{00000000-0004-0000-1200-000023000000}"/>
    <hyperlink ref="B46" location="'2.1 Investments_ANSP#1'!B767" tooltip="Go to Project #" display="37" xr:uid="{00000000-0004-0000-1200-000024000000}"/>
    <hyperlink ref="B47" location="'2.1 Investments_ANSP#1'!B786" tooltip="Go to Project #" display="38" xr:uid="{00000000-0004-0000-1200-000025000000}"/>
    <hyperlink ref="B48" location="'2.1 Investments_ANSP#1'!B805" tooltip="Go to Project #" display="39" xr:uid="{00000000-0004-0000-1200-000026000000}"/>
    <hyperlink ref="B49" location="'2.1 Investments_ANSP#1'!B824" tooltip="Go to Project #" display="40" xr:uid="{00000000-0004-0000-1200-000027000000}"/>
    <hyperlink ref="B50" location="'2.1 Investments_ANSP#1'!B843" tooltip="Go to Project #" display="41" xr:uid="{00000000-0004-0000-1200-000028000000}"/>
    <hyperlink ref="B51" location="'2.1 Investments_ANSP#1'!B862" tooltip="Go to Project #" display="42" xr:uid="{00000000-0004-0000-1200-000029000000}"/>
    <hyperlink ref="B52" location="'2.1 Investments_ANSP#1'!B881" tooltip="Go to Project #" display="43" xr:uid="{00000000-0004-0000-1200-00002A000000}"/>
    <hyperlink ref="B53" location="'2.1 Investments_ANSP#1'!B900" tooltip="Go to Project #" display="44" xr:uid="{00000000-0004-0000-1200-00002B000000}"/>
    <hyperlink ref="B54" location="'2.1 Investments_ANSP#1'!B919" tooltip="Go to Project #" display="45" xr:uid="{00000000-0004-0000-1200-00002C000000}"/>
    <hyperlink ref="B55" location="'2.1 Investments_ANSP#1'!B938" tooltip="Go to Project #" display="46" xr:uid="{00000000-0004-0000-1200-00002D000000}"/>
    <hyperlink ref="B56" location="'2.1 Investments_ANSP#1'!B957" tooltip="Go to Project #" display="47" xr:uid="{00000000-0004-0000-1200-00002E000000}"/>
    <hyperlink ref="B57" location="'2.1 Investments_ANSP#1'!B976" tooltip="Go to Project #" display="48" xr:uid="{00000000-0004-0000-1200-00002F000000}"/>
    <hyperlink ref="B58" location="'2.1 Investments_ANSP#1'!B995" tooltip="Go to Project #" display="49" xr:uid="{00000000-0004-0000-1200-000030000000}"/>
    <hyperlink ref="B59" location="'2.1 Investments_ANSP#1'!B1014" tooltip="Go to Project #" display="50" xr:uid="{00000000-0004-0000-1200-000031000000}"/>
    <hyperlink ref="A69" location="'2.1 Investments_ANSP#1'!B4" tooltip="Go to top" display="'2.1 Investments_ANSP#1'!B4" xr:uid="{00000000-0004-0000-1200-000032000000}"/>
    <hyperlink ref="A943" location="'2.1 Investments_ANSP#1'!B4" tooltip="Go to top" display="'2.1 Investments_ANSP#1'!B4" xr:uid="{00000000-0004-0000-1200-000033000000}"/>
    <hyperlink ref="A962" location="'2.1 Investments_ANSP#1'!B4" tooltip="Go to top" display="'2.1 Investments_ANSP#1'!B4" xr:uid="{00000000-0004-0000-1200-000034000000}"/>
    <hyperlink ref="A981" location="'2.1 Investments_ANSP#1'!B4" tooltip="Go to top" display="'2.1 Investments_ANSP#1'!B4" xr:uid="{00000000-0004-0000-1200-000035000000}"/>
    <hyperlink ref="A1000" location="'2.1 Investments_ANSP#1'!B4" tooltip="Go to top" display="'2.1 Investments_ANSP#1'!B4" xr:uid="{00000000-0004-0000-1200-000036000000}"/>
    <hyperlink ref="A88" location="'2.1 Investments_ANSP#1'!B4" tooltip="Go to top" display="'2.1 Investments_ANSP#1'!B4" xr:uid="{00000000-0004-0000-1200-000037000000}"/>
    <hyperlink ref="A107" location="'2.1 Investments_ANSP#1'!B4" tooltip="Go to top" display="'2.1 Investments_ANSP#1'!B4" xr:uid="{00000000-0004-0000-1200-000038000000}"/>
    <hyperlink ref="A126" location="'2.1 Investments_ANSP#1'!B4" tooltip="Go to top" display="'2.1 Investments_ANSP#1'!B4" xr:uid="{00000000-0004-0000-1200-000039000000}"/>
    <hyperlink ref="A145" location="'2.1 Investments_ANSP#1'!B4" tooltip="Go to top" display="'2.1 Investments_ANSP#1'!B4" xr:uid="{00000000-0004-0000-1200-00003A000000}"/>
    <hyperlink ref="A164" location="'2.1 Investments_ANSP#1'!B4" tooltip="Go to top" display="'2.1 Investments_ANSP#1'!B4" xr:uid="{00000000-0004-0000-1200-00003B000000}"/>
    <hyperlink ref="A183" location="'2.1 Investments_ANSP#1'!B4" tooltip="Go to top" display="'2.1 Investments_ANSP#1'!B4" xr:uid="{00000000-0004-0000-1200-00003C000000}"/>
    <hyperlink ref="A202" location="'2.1 Investments_ANSP#1'!B4" tooltip="Go to top" display="'2.1 Investments_ANSP#1'!B4" xr:uid="{00000000-0004-0000-1200-00003D000000}"/>
    <hyperlink ref="A221" location="'2.1 Investments_ANSP#1'!B4" tooltip="Go to top" display="'2.1 Investments_ANSP#1'!B4" xr:uid="{00000000-0004-0000-1200-00003E000000}"/>
    <hyperlink ref="A240" location="'2.1 Investments_ANSP#1'!B4" tooltip="Go to top" display="'2.1 Investments_ANSP#1'!B4" xr:uid="{00000000-0004-0000-1200-00003F000000}"/>
    <hyperlink ref="A259" location="'2.1 Investments_ANSP#1'!B4" tooltip="Go to top" display="'2.1 Investments_ANSP#1'!B4" xr:uid="{00000000-0004-0000-1200-000040000000}"/>
    <hyperlink ref="A278" location="'2.1 Investments_ANSP#1'!B4" tooltip="Go to top" display="'2.1 Investments_ANSP#1'!B4" xr:uid="{00000000-0004-0000-1200-000041000000}"/>
    <hyperlink ref="A297" location="'2.1 Investments_ANSP#1'!B4" tooltip="Go to top" display="'2.1 Investments_ANSP#1'!B4" xr:uid="{00000000-0004-0000-1200-000042000000}"/>
    <hyperlink ref="A316" location="'2.1 Investments_ANSP#1'!B4" tooltip="Go to top" display="'2.1 Investments_ANSP#1'!B4" xr:uid="{00000000-0004-0000-1200-000043000000}"/>
    <hyperlink ref="A335" location="'2.1 Investments_ANSP#1'!B4" tooltip="Go to top" display="'2.1 Investments_ANSP#1'!B4" xr:uid="{00000000-0004-0000-1200-000044000000}"/>
    <hyperlink ref="A354" location="'2.1 Investments_ANSP#1'!B4" tooltip="Go to top" display="'2.1 Investments_ANSP#1'!B4" xr:uid="{00000000-0004-0000-1200-000045000000}"/>
    <hyperlink ref="A373" location="'2.1 Investments_ANSP#1'!B4" tooltip="Go to top" display="'2.1 Investments_ANSP#1'!B4" xr:uid="{00000000-0004-0000-1200-000046000000}"/>
    <hyperlink ref="A392" location="'2.1 Investments_ANSP#1'!B4" tooltip="Go to top" display="'2.1 Investments_ANSP#1'!B4" xr:uid="{00000000-0004-0000-1200-000047000000}"/>
    <hyperlink ref="A411" location="'2.1 Investments_ANSP#1'!B4" tooltip="Go to top" display="'2.1 Investments_ANSP#1'!B4" xr:uid="{00000000-0004-0000-1200-000048000000}"/>
    <hyperlink ref="A430" location="'2.1 Investments_ANSP#1'!B4" tooltip="Go to top" display="'2.1 Investments_ANSP#1'!B4" xr:uid="{00000000-0004-0000-1200-000049000000}"/>
    <hyperlink ref="A449" location="'2.1 Investments_ANSP#1'!B4" tooltip="Go to top" display="'2.1 Investments_ANSP#1'!B4" xr:uid="{00000000-0004-0000-1200-00004A000000}"/>
    <hyperlink ref="A468" location="'2.1 Investments_ANSP#1'!B4" tooltip="Go to top" display="'2.1 Investments_ANSP#1'!B4" xr:uid="{00000000-0004-0000-1200-00004B000000}"/>
    <hyperlink ref="A487" location="'2.1 Investments_ANSP#1'!B4" tooltip="Go to top" display="'2.1 Investments_ANSP#1'!B4" xr:uid="{00000000-0004-0000-1200-00004C000000}"/>
    <hyperlink ref="A506" location="'2.1 Investments_ANSP#1'!B4" tooltip="Go to top" display="'2.1 Investments_ANSP#1'!B4" xr:uid="{00000000-0004-0000-1200-00004D000000}"/>
    <hyperlink ref="A525" location="'2.1 Investments_ANSP#1'!B4" tooltip="Go to top" display="'2.1 Investments_ANSP#1'!B4" xr:uid="{00000000-0004-0000-1200-00004E000000}"/>
    <hyperlink ref="A544" location="'2.1 Investments_ANSP#1'!B4" tooltip="Go to top" display="'2.1 Investments_ANSP#1'!B4" xr:uid="{00000000-0004-0000-1200-00004F000000}"/>
    <hyperlink ref="A563" location="'2.1 Investments_ANSP#1'!B4" tooltip="Go to top" display="'2.1 Investments_ANSP#1'!B4" xr:uid="{00000000-0004-0000-1200-000050000000}"/>
    <hyperlink ref="A582" location="'2.1 Investments_ANSP#1'!B4" tooltip="Go to top" display="'2.1 Investments_ANSP#1'!B4" xr:uid="{00000000-0004-0000-1200-000051000000}"/>
    <hyperlink ref="A601" location="'2.1 Investments_ANSP#1'!B4" tooltip="Go to top" display="'2.1 Investments_ANSP#1'!B4" xr:uid="{00000000-0004-0000-1200-000052000000}"/>
    <hyperlink ref="A620" location="'2.1 Investments_ANSP#1'!B4" tooltip="Go to top" display="'2.1 Investments_ANSP#1'!B4" xr:uid="{00000000-0004-0000-1200-000053000000}"/>
    <hyperlink ref="A639" location="'2.1 Investments_ANSP#1'!B4" tooltip="Go to top" display="'2.1 Investments_ANSP#1'!B4" xr:uid="{00000000-0004-0000-1200-000054000000}"/>
    <hyperlink ref="A658" location="'2.1 Investments_ANSP#1'!B4" tooltip="Go to top" display="'2.1 Investments_ANSP#1'!B4" xr:uid="{00000000-0004-0000-1200-000055000000}"/>
    <hyperlink ref="A677" location="'2.1 Investments_ANSP#1'!B4" tooltip="Go to top" display="'2.1 Investments_ANSP#1'!B4" xr:uid="{00000000-0004-0000-1200-000056000000}"/>
    <hyperlink ref="A696" location="'2.1 Investments_ANSP#1'!B4" tooltip="Go to top" display="'2.1 Investments_ANSP#1'!B4" xr:uid="{00000000-0004-0000-1200-000057000000}"/>
    <hyperlink ref="A715" location="'2.1 Investments_ANSP#1'!B4" tooltip="Go to top" display="'2.1 Investments_ANSP#1'!B4" xr:uid="{00000000-0004-0000-1200-000058000000}"/>
    <hyperlink ref="A734" location="'2.1 Investments_ANSP#1'!B4" tooltip="Go to top" display="'2.1 Investments_ANSP#1'!B4" xr:uid="{00000000-0004-0000-1200-000059000000}"/>
    <hyperlink ref="A753" location="'2.1 Investments_ANSP#1'!B4" tooltip="Go to top" display="'2.1 Investments_ANSP#1'!B4" xr:uid="{00000000-0004-0000-1200-00005A000000}"/>
    <hyperlink ref="A772" location="'2.1 Investments_ANSP#1'!B4" tooltip="Go to top" display="'2.1 Investments_ANSP#1'!B4" xr:uid="{00000000-0004-0000-1200-00005B000000}"/>
    <hyperlink ref="A791" location="'2.1 Investments_ANSP#1'!B4" tooltip="Go to top" display="'2.1 Investments_ANSP#1'!B4" xr:uid="{00000000-0004-0000-1200-00005C000000}"/>
    <hyperlink ref="A810" location="'2.1 Investments_ANSP#1'!B4" tooltip="Go to top" display="'2.1 Investments_ANSP#1'!B4" xr:uid="{00000000-0004-0000-1200-00005D000000}"/>
    <hyperlink ref="A829" location="'2.1 Investments_ANSP#1'!B4" tooltip="Go to top" display="'2.1 Investments_ANSP#1'!B4" xr:uid="{00000000-0004-0000-1200-00005E000000}"/>
    <hyperlink ref="A848" location="'2.1 Investments_ANSP#1'!B4" tooltip="Go to top" display="'2.1 Investments_ANSP#1'!B4" xr:uid="{00000000-0004-0000-1200-00005F000000}"/>
    <hyperlink ref="A867" location="'2.1 Investments_ANSP#1'!B4" tooltip="Go to top" display="'2.1 Investments_ANSP#1'!B4" xr:uid="{00000000-0004-0000-1200-000060000000}"/>
    <hyperlink ref="A886" location="'2.1 Investments_ANSP#1'!B4" tooltip="Go to top" display="'2.1 Investments_ANSP#1'!B4" xr:uid="{00000000-0004-0000-1200-000061000000}"/>
    <hyperlink ref="A905" location="'2.1 Investments_ANSP#1'!B4" tooltip="Go to top" display="'2.1 Investments_ANSP#1'!B4" xr:uid="{00000000-0004-0000-1200-000062000000}"/>
    <hyperlink ref="A924" location="'2.1 Investments_ANSP#1'!B4" tooltip="Go to top" display="'2.1 Investments_ANSP#1'!B4" xr:uid="{00000000-0004-0000-12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tabColor theme="2" tint="-0.249977111117893"/>
    <pageSetUpPr fitToPage="1"/>
  </sheetPr>
  <dimension ref="A1:K106"/>
  <sheetViews>
    <sheetView showGridLines="0" topLeftCell="A19" zoomScale="85" zoomScaleNormal="85" workbookViewId="0">
      <selection activeCell="C55" sqref="C55"/>
    </sheetView>
  </sheetViews>
  <sheetFormatPr defaultColWidth="9.140625" defaultRowHeight="15"/>
  <cols>
    <col min="1" max="1" width="1.7109375" style="4" customWidth="1"/>
    <col min="2" max="10" width="11.7109375" style="373" customWidth="1"/>
    <col min="11" max="11" width="16.7109375" style="373" customWidth="1"/>
    <col min="12" max="16384" width="9.140625" style="3"/>
  </cols>
  <sheetData>
    <row r="1" spans="1:11">
      <c r="B1" s="1"/>
      <c r="C1" s="384"/>
      <c r="D1" s="384"/>
      <c r="E1" s="384"/>
      <c r="F1" s="384"/>
      <c r="G1" s="384"/>
      <c r="H1" s="384"/>
      <c r="I1" s="384"/>
      <c r="J1" s="384"/>
      <c r="K1" s="385"/>
    </row>
    <row r="2" spans="1:11">
      <c r="B2" s="386"/>
      <c r="C2" s="387"/>
      <c r="D2" s="387"/>
      <c r="E2" s="387"/>
      <c r="F2" s="387"/>
      <c r="G2" s="387"/>
      <c r="H2" s="387"/>
      <c r="I2" s="387"/>
      <c r="J2" s="387"/>
      <c r="K2" s="388"/>
    </row>
    <row r="3" spans="1:11">
      <c r="B3" s="389"/>
      <c r="C3" s="387"/>
      <c r="D3" s="387"/>
      <c r="E3" s="387"/>
      <c r="F3" s="387"/>
      <c r="G3" s="387"/>
      <c r="H3" s="387"/>
      <c r="I3" s="387"/>
      <c r="J3" s="387"/>
      <c r="K3" s="388"/>
    </row>
    <row r="4" spans="1:11">
      <c r="B4" s="389"/>
      <c r="C4" s="387"/>
      <c r="D4" s="387"/>
      <c r="E4" s="387"/>
      <c r="F4" s="387"/>
      <c r="G4" s="387"/>
      <c r="H4" s="387"/>
      <c r="I4" s="387"/>
      <c r="J4" s="387"/>
      <c r="K4" s="388"/>
    </row>
    <row r="5" spans="1:11">
      <c r="B5" s="389"/>
      <c r="C5" s="387"/>
      <c r="D5" s="387"/>
      <c r="E5" s="387"/>
      <c r="F5" s="387"/>
      <c r="G5" s="387"/>
      <c r="H5" s="387"/>
      <c r="I5" s="387"/>
      <c r="J5" s="387"/>
      <c r="K5" s="388"/>
    </row>
    <row r="6" spans="1:11">
      <c r="A6" s="142"/>
      <c r="B6" s="389"/>
      <c r="C6" s="387"/>
      <c r="D6" s="387"/>
      <c r="E6" s="387"/>
      <c r="F6" s="387"/>
      <c r="G6" s="387"/>
      <c r="H6" s="387"/>
      <c r="I6" s="387"/>
      <c r="J6" s="387"/>
      <c r="K6" s="388"/>
    </row>
    <row r="7" spans="1:11">
      <c r="B7" s="389"/>
      <c r="C7" s="387"/>
      <c r="D7" s="387"/>
      <c r="E7" s="387"/>
      <c r="F7" s="387"/>
      <c r="G7" s="387"/>
      <c r="H7" s="387"/>
      <c r="I7" s="387"/>
      <c r="J7" s="387"/>
      <c r="K7" s="388"/>
    </row>
    <row r="8" spans="1:11" ht="17.25">
      <c r="A8" s="32"/>
      <c r="B8" s="389"/>
      <c r="C8" s="387"/>
      <c r="D8" s="387"/>
      <c r="E8" s="387"/>
      <c r="F8" s="387"/>
      <c r="G8" s="387"/>
      <c r="H8" s="387"/>
      <c r="I8" s="387"/>
      <c r="J8" s="387"/>
      <c r="K8" s="388"/>
    </row>
    <row r="9" spans="1:11">
      <c r="B9" s="389"/>
      <c r="C9" s="387"/>
      <c r="D9" s="387"/>
      <c r="E9" s="387"/>
      <c r="F9" s="387"/>
      <c r="G9" s="387"/>
      <c r="H9" s="387"/>
      <c r="I9" s="387"/>
      <c r="J9" s="387"/>
      <c r="K9" s="388"/>
    </row>
    <row r="10" spans="1:11">
      <c r="A10" s="144"/>
      <c r="B10" s="389"/>
      <c r="C10" s="387"/>
      <c r="D10" s="387"/>
      <c r="E10" s="387"/>
      <c r="F10" s="387"/>
      <c r="G10" s="387"/>
      <c r="H10" s="387"/>
      <c r="I10" s="387"/>
      <c r="J10" s="387"/>
      <c r="K10" s="388"/>
    </row>
    <row r="11" spans="1:11">
      <c r="B11" s="389"/>
      <c r="C11" s="387"/>
      <c r="D11" s="387"/>
      <c r="E11" s="387"/>
      <c r="F11" s="387"/>
      <c r="G11" s="387"/>
      <c r="H11" s="387"/>
      <c r="I11" s="387"/>
      <c r="J11" s="387"/>
      <c r="K11" s="388"/>
    </row>
    <row r="12" spans="1:11">
      <c r="A12" s="146"/>
      <c r="B12" s="389"/>
      <c r="C12" s="387"/>
      <c r="D12" s="387"/>
      <c r="E12" s="387"/>
      <c r="F12" s="387"/>
      <c r="G12" s="387"/>
      <c r="H12" s="387"/>
      <c r="I12" s="387"/>
      <c r="J12" s="387"/>
      <c r="K12" s="388"/>
    </row>
    <row r="13" spans="1:11">
      <c r="A13" s="146"/>
      <c r="B13" s="389"/>
      <c r="C13" s="387"/>
      <c r="D13" s="387"/>
      <c r="E13" s="387"/>
      <c r="F13" s="387"/>
      <c r="G13" s="387"/>
      <c r="H13" s="387"/>
      <c r="I13" s="387"/>
      <c r="J13" s="387"/>
      <c r="K13" s="388"/>
    </row>
    <row r="14" spans="1:11">
      <c r="A14" s="150"/>
      <c r="B14" s="389"/>
      <c r="C14" s="387"/>
      <c r="D14" s="387"/>
      <c r="E14" s="387"/>
      <c r="F14" s="387"/>
      <c r="G14" s="387"/>
      <c r="H14" s="387"/>
      <c r="I14" s="387"/>
      <c r="J14" s="387"/>
      <c r="K14" s="388"/>
    </row>
    <row r="15" spans="1:11">
      <c r="A15" s="150"/>
      <c r="B15" s="389"/>
      <c r="C15" s="387"/>
      <c r="D15" s="387"/>
      <c r="E15" s="387"/>
      <c r="F15" s="387"/>
      <c r="G15" s="387"/>
      <c r="H15" s="387"/>
      <c r="I15" s="387"/>
      <c r="J15" s="387"/>
      <c r="K15" s="388"/>
    </row>
    <row r="16" spans="1:11">
      <c r="A16" s="150"/>
      <c r="B16" s="389"/>
      <c r="C16" s="387"/>
      <c r="D16" s="387"/>
      <c r="E16" s="387"/>
      <c r="F16" s="387"/>
      <c r="G16" s="387"/>
      <c r="H16" s="387"/>
      <c r="I16" s="387"/>
      <c r="J16" s="387"/>
      <c r="K16" s="388"/>
    </row>
    <row r="17" spans="1:11">
      <c r="A17" s="150"/>
      <c r="B17" s="375"/>
      <c r="C17" s="376"/>
      <c r="D17" s="376"/>
      <c r="E17" s="376"/>
      <c r="F17" s="376"/>
      <c r="G17" s="376"/>
      <c r="H17" s="376"/>
      <c r="I17" s="376"/>
      <c r="J17" s="376"/>
      <c r="K17" s="377"/>
    </row>
    <row r="18" spans="1:11" s="374" customFormat="1" ht="61.5">
      <c r="A18" s="150"/>
      <c r="B18" s="378" t="s">
        <v>1475</v>
      </c>
      <c r="C18" s="379"/>
      <c r="D18" s="379"/>
      <c r="E18" s="379"/>
      <c r="F18" s="379"/>
      <c r="G18" s="379"/>
      <c r="H18" s="379"/>
      <c r="I18" s="379"/>
      <c r="J18" s="379"/>
      <c r="K18" s="380"/>
    </row>
    <row r="19" spans="1:11">
      <c r="A19" s="150"/>
      <c r="B19" s="381"/>
      <c r="C19" s="376"/>
      <c r="D19" s="376"/>
      <c r="E19" s="376"/>
      <c r="F19" s="376"/>
      <c r="G19" s="376"/>
      <c r="H19" s="376"/>
      <c r="I19" s="376"/>
      <c r="J19" s="376"/>
      <c r="K19" s="377"/>
    </row>
    <row r="20" spans="1:11" s="374" customFormat="1" ht="61.5">
      <c r="A20" s="150"/>
      <c r="B20" s="382" t="str">
        <f>Signatories!C5</f>
        <v>Cyprus</v>
      </c>
      <c r="C20" s="379"/>
      <c r="D20" s="379"/>
      <c r="E20" s="379"/>
      <c r="F20" s="379"/>
      <c r="G20" s="379"/>
      <c r="H20" s="379"/>
      <c r="I20" s="379"/>
      <c r="J20" s="379"/>
      <c r="K20" s="380"/>
    </row>
    <row r="21" spans="1:11">
      <c r="A21" s="150"/>
      <c r="B21" s="375"/>
      <c r="C21" s="376"/>
      <c r="D21" s="376"/>
      <c r="E21" s="376"/>
      <c r="F21" s="376"/>
      <c r="G21" s="376"/>
      <c r="H21" s="376"/>
      <c r="I21" s="376"/>
      <c r="J21" s="376"/>
      <c r="K21" s="377"/>
    </row>
    <row r="22" spans="1:11">
      <c r="A22" s="150"/>
      <c r="B22" s="375"/>
      <c r="C22" s="376"/>
      <c r="D22" s="376"/>
      <c r="E22" s="376"/>
      <c r="F22" s="376"/>
      <c r="G22" s="376"/>
      <c r="H22" s="376"/>
      <c r="I22" s="376"/>
      <c r="J22" s="376"/>
      <c r="K22" s="377"/>
    </row>
    <row r="23" spans="1:11" ht="32.25">
      <c r="A23"/>
      <c r="B23" s="383" t="s">
        <v>1476</v>
      </c>
      <c r="C23" s="376"/>
      <c r="D23" s="376"/>
      <c r="E23" s="376"/>
      <c r="F23" s="376"/>
      <c r="G23" s="376"/>
      <c r="H23" s="376"/>
      <c r="I23" s="376"/>
      <c r="J23" s="376"/>
      <c r="K23" s="377"/>
    </row>
    <row r="24" spans="1:11">
      <c r="A24"/>
      <c r="B24" s="375"/>
      <c r="C24" s="376"/>
      <c r="D24" s="376"/>
      <c r="E24" s="376"/>
      <c r="F24" s="376"/>
      <c r="G24" s="376"/>
      <c r="H24" s="376"/>
      <c r="I24" s="376"/>
      <c r="J24" s="376"/>
      <c r="K24" s="377"/>
    </row>
    <row r="25" spans="1:11">
      <c r="A25"/>
      <c r="B25" s="389"/>
      <c r="C25" s="387"/>
      <c r="D25" s="387"/>
      <c r="E25" s="387"/>
      <c r="F25" s="387"/>
      <c r="G25" s="387"/>
      <c r="H25" s="387"/>
      <c r="I25" s="387"/>
      <c r="J25" s="387"/>
      <c r="K25" s="388"/>
    </row>
    <row r="26" spans="1:11">
      <c r="A26" s="60"/>
      <c r="B26" s="389"/>
      <c r="C26" s="387"/>
      <c r="D26" s="387"/>
      <c r="E26" s="387"/>
      <c r="F26" s="387"/>
      <c r="G26" s="387"/>
      <c r="H26" s="387"/>
      <c r="I26" s="387"/>
      <c r="J26" s="387"/>
      <c r="K26" s="388"/>
    </row>
    <row r="27" spans="1:11">
      <c r="A27" s="155"/>
      <c r="B27" s="389"/>
      <c r="C27" s="387"/>
      <c r="D27" s="387"/>
      <c r="E27" s="387"/>
      <c r="F27" s="387"/>
      <c r="G27" s="387"/>
      <c r="H27" s="387"/>
      <c r="I27" s="387"/>
      <c r="J27" s="387"/>
      <c r="K27" s="388"/>
    </row>
    <row r="28" spans="1:11">
      <c r="A28" s="60"/>
      <c r="B28" s="389"/>
      <c r="C28" s="387"/>
      <c r="D28" s="387"/>
      <c r="E28" s="387"/>
      <c r="F28" s="387"/>
      <c r="G28" s="387"/>
      <c r="H28" s="387"/>
      <c r="I28" s="387"/>
      <c r="J28" s="387"/>
      <c r="K28" s="388"/>
    </row>
    <row r="29" spans="1:11">
      <c r="A29" s="144"/>
      <c r="B29" s="389"/>
      <c r="C29" s="387"/>
      <c r="D29" s="387"/>
      <c r="E29" s="387"/>
      <c r="F29" s="387"/>
      <c r="G29" s="387"/>
      <c r="H29" s="387"/>
      <c r="I29" s="387"/>
      <c r="J29" s="387"/>
      <c r="K29" s="388"/>
    </row>
    <row r="30" spans="1:11">
      <c r="A30" s="146"/>
      <c r="B30" s="389"/>
      <c r="C30" s="387"/>
      <c r="D30" s="387"/>
      <c r="E30" s="387"/>
      <c r="F30" s="387"/>
      <c r="G30" s="387"/>
      <c r="H30" s="387"/>
      <c r="I30" s="387"/>
      <c r="J30" s="387"/>
      <c r="K30" s="388"/>
    </row>
    <row r="31" spans="1:11">
      <c r="A31" s="146"/>
      <c r="B31" s="389"/>
      <c r="C31" s="387"/>
      <c r="D31" s="387"/>
      <c r="E31" s="387"/>
      <c r="F31" s="387"/>
      <c r="G31" s="387"/>
      <c r="H31" s="387"/>
      <c r="I31" s="387"/>
      <c r="J31" s="387"/>
      <c r="K31" s="388"/>
    </row>
    <row r="32" spans="1:11">
      <c r="A32" s="146"/>
      <c r="B32" s="389"/>
      <c r="C32" s="387"/>
      <c r="D32" s="387"/>
      <c r="E32" s="387"/>
      <c r="F32" s="387"/>
      <c r="G32" s="387"/>
      <c r="H32" s="387"/>
      <c r="I32" s="387"/>
      <c r="J32" s="387"/>
      <c r="K32" s="388"/>
    </row>
    <row r="33" spans="1:11">
      <c r="A33" s="146"/>
      <c r="B33" s="389"/>
      <c r="C33" s="387"/>
      <c r="D33" s="387"/>
      <c r="E33" s="387"/>
      <c r="F33" s="387"/>
      <c r="G33" s="387"/>
      <c r="H33" s="387"/>
      <c r="I33" s="387"/>
      <c r="J33" s="387"/>
      <c r="K33" s="388"/>
    </row>
    <row r="34" spans="1:11">
      <c r="A34" s="146"/>
      <c r="B34" s="389"/>
      <c r="C34" s="387"/>
      <c r="D34" s="387"/>
      <c r="E34" s="387"/>
      <c r="F34" s="387"/>
      <c r="G34" s="387"/>
      <c r="H34" s="387"/>
      <c r="I34" s="387"/>
      <c r="J34" s="387"/>
      <c r="K34" s="388"/>
    </row>
    <row r="35" spans="1:11">
      <c r="A35" s="146"/>
      <c r="B35" s="389"/>
      <c r="C35" s="387"/>
      <c r="D35" s="387"/>
      <c r="E35" s="387"/>
      <c r="F35" s="387"/>
      <c r="G35" s="387"/>
      <c r="H35" s="387"/>
      <c r="I35" s="387"/>
      <c r="J35" s="387"/>
      <c r="K35" s="388"/>
    </row>
    <row r="36" spans="1:11">
      <c r="A36" s="146"/>
      <c r="B36" s="389"/>
      <c r="C36" s="387"/>
      <c r="D36" s="387"/>
      <c r="E36" s="387"/>
      <c r="F36" s="387"/>
      <c r="G36" s="387"/>
      <c r="H36" s="387"/>
      <c r="I36" s="387"/>
      <c r="J36" s="387"/>
      <c r="K36" s="388"/>
    </row>
    <row r="37" spans="1:11">
      <c r="A37" s="146"/>
      <c r="B37" s="389"/>
      <c r="C37" s="387"/>
      <c r="D37" s="387"/>
      <c r="E37" s="387"/>
      <c r="F37" s="387"/>
      <c r="G37" s="387"/>
      <c r="H37" s="387"/>
      <c r="I37" s="387"/>
      <c r="J37" s="387"/>
      <c r="K37" s="388"/>
    </row>
    <row r="38" spans="1:11">
      <c r="A38" s="146"/>
      <c r="B38" s="389"/>
      <c r="C38" s="387"/>
      <c r="D38" s="387"/>
      <c r="E38" s="387"/>
      <c r="F38" s="387"/>
      <c r="G38" s="387"/>
      <c r="H38" s="387"/>
      <c r="I38" s="387"/>
      <c r="J38" s="387"/>
      <c r="K38" s="388"/>
    </row>
    <row r="39" spans="1:11">
      <c r="A39" s="146"/>
      <c r="B39" s="389"/>
      <c r="C39" s="387"/>
      <c r="D39" s="387"/>
      <c r="E39" s="387"/>
      <c r="F39" s="387"/>
      <c r="G39" s="387"/>
      <c r="H39" s="387"/>
      <c r="I39" s="387"/>
      <c r="J39" s="387"/>
      <c r="K39" s="388"/>
    </row>
    <row r="40" spans="1:11">
      <c r="A40" s="146"/>
      <c r="B40" s="389"/>
      <c r="C40" s="387"/>
      <c r="D40" s="387"/>
      <c r="E40" s="387"/>
      <c r="F40" s="387"/>
      <c r="G40" s="387"/>
      <c r="H40" s="387"/>
      <c r="I40" s="387"/>
      <c r="J40" s="387"/>
      <c r="K40" s="388"/>
    </row>
    <row r="41" spans="1:11">
      <c r="A41" s="146"/>
      <c r="B41" s="389"/>
      <c r="C41" s="387"/>
      <c r="D41" s="387"/>
      <c r="E41" s="387"/>
      <c r="F41" s="387"/>
      <c r="G41" s="387"/>
      <c r="H41" s="387"/>
      <c r="I41" s="387"/>
      <c r="J41" s="387"/>
      <c r="K41" s="388"/>
    </row>
    <row r="42" spans="1:11">
      <c r="A42" s="146"/>
      <c r="B42" s="389"/>
      <c r="C42" s="387"/>
      <c r="D42" s="387"/>
      <c r="E42" s="387"/>
      <c r="F42" s="387"/>
      <c r="G42" s="387"/>
      <c r="H42" s="387"/>
      <c r="I42" s="387"/>
      <c r="J42" s="387"/>
      <c r="K42" s="388"/>
    </row>
    <row r="43" spans="1:11" ht="21.75" customHeight="1">
      <c r="A43" s="41"/>
      <c r="B43" s="591" t="s">
        <v>1477</v>
      </c>
      <c r="C43" s="614" t="str">
        <f>IF(Signatories!$C$6="Select performance plan status","",Signatories!C6)</f>
        <v>Final adopted performance plan (Art. 16(a and b) of IR 2019/317)</v>
      </c>
      <c r="D43" s="614"/>
      <c r="E43" s="614"/>
      <c r="F43" s="614"/>
      <c r="G43" s="614"/>
      <c r="H43" s="614"/>
      <c r="I43" s="614"/>
      <c r="J43" s="614"/>
      <c r="K43" s="388"/>
    </row>
    <row r="44" spans="1:11" ht="15" customHeight="1">
      <c r="A44" s="150"/>
      <c r="B44" s="592"/>
      <c r="C44" s="614"/>
      <c r="D44" s="614"/>
      <c r="E44" s="614"/>
      <c r="F44" s="614"/>
      <c r="G44" s="614"/>
      <c r="H44" s="614"/>
      <c r="I44" s="614"/>
      <c r="J44" s="614"/>
      <c r="K44" s="388"/>
    </row>
    <row r="45" spans="1:11" ht="27" customHeight="1">
      <c r="A45" s="41"/>
      <c r="B45" s="591" t="s">
        <v>1478</v>
      </c>
      <c r="C45" s="613" t="str">
        <f>IF(Signatories!$C7="","",Signatories!$C7)</f>
        <v>14th September 2022</v>
      </c>
      <c r="D45" s="613"/>
      <c r="E45" s="613"/>
      <c r="F45" s="589"/>
      <c r="G45" s="589"/>
      <c r="H45" s="589"/>
      <c r="I45" s="589"/>
      <c r="J45" s="590"/>
      <c r="K45" s="390"/>
    </row>
    <row r="46" spans="1:11">
      <c r="A46" s="144"/>
      <c r="B46" s="389"/>
      <c r="C46" s="387"/>
      <c r="D46" s="387"/>
      <c r="E46" s="387"/>
      <c r="F46" s="387"/>
      <c r="G46" s="387"/>
      <c r="H46" s="387"/>
      <c r="I46" s="391"/>
      <c r="J46" s="387"/>
      <c r="K46" s="388"/>
    </row>
    <row r="47" spans="1:11">
      <c r="A47" s="144"/>
      <c r="B47" s="389"/>
      <c r="C47" s="387"/>
      <c r="D47" s="387"/>
      <c r="E47" s="387"/>
      <c r="F47" s="387"/>
      <c r="G47" s="387"/>
      <c r="H47" s="387"/>
      <c r="I47" s="387"/>
      <c r="J47" s="387"/>
      <c r="K47" s="388"/>
    </row>
    <row r="48" spans="1:11">
      <c r="A48" s="146"/>
      <c r="B48" s="392"/>
      <c r="C48" s="393"/>
      <c r="D48" s="393"/>
      <c r="E48" s="393"/>
      <c r="F48" s="393"/>
      <c r="G48" s="393"/>
      <c r="H48" s="393"/>
      <c r="I48" s="393"/>
      <c r="J48" s="393"/>
      <c r="K48" s="394"/>
    </row>
    <row r="49" spans="1:1">
      <c r="A49" s="146"/>
    </row>
    <row r="50" spans="1:1">
      <c r="A50" s="146"/>
    </row>
    <row r="51" spans="1:1">
      <c r="A51" s="146"/>
    </row>
    <row r="52" spans="1:1">
      <c r="A52" s="146"/>
    </row>
    <row r="53" spans="1:1">
      <c r="A53" s="146"/>
    </row>
    <row r="54" spans="1:1">
      <c r="A54" s="146"/>
    </row>
    <row r="55" spans="1:1">
      <c r="A55" s="146"/>
    </row>
    <row r="56" spans="1:1">
      <c r="A56" s="146"/>
    </row>
    <row r="57" spans="1:1">
      <c r="A57" s="146"/>
    </row>
    <row r="58" spans="1:1">
      <c r="A58" s="146"/>
    </row>
    <row r="59" spans="1:1">
      <c r="A59" s="146"/>
    </row>
    <row r="63" spans="1:1">
      <c r="A63" s="144"/>
    </row>
    <row r="65" spans="1:1">
      <c r="A65" s="144"/>
    </row>
    <row r="66" spans="1:1">
      <c r="A66" s="144"/>
    </row>
    <row r="67" spans="1:1">
      <c r="A67" s="144"/>
    </row>
    <row r="68" spans="1:1">
      <c r="A68" s="144"/>
    </row>
    <row r="69" spans="1:1">
      <c r="A69" s="144"/>
    </row>
    <row r="70" spans="1:1">
      <c r="A70" s="144"/>
    </row>
    <row r="71" spans="1:1">
      <c r="A71" s="144"/>
    </row>
    <row r="72" spans="1:1">
      <c r="A72" s="144"/>
    </row>
    <row r="73" spans="1:1">
      <c r="A73" s="144"/>
    </row>
    <row r="74" spans="1:1">
      <c r="A74" s="144"/>
    </row>
    <row r="75" spans="1:1">
      <c r="A75" s="144"/>
    </row>
    <row r="80" spans="1:1">
      <c r="A80" s="144"/>
    </row>
    <row r="82" spans="1:1">
      <c r="A82" s="146"/>
    </row>
    <row r="83" spans="1:1">
      <c r="A83" s="146"/>
    </row>
    <row r="84" spans="1:1">
      <c r="A84" s="146"/>
    </row>
    <row r="85" spans="1:1">
      <c r="A85" s="146"/>
    </row>
    <row r="86" spans="1:1">
      <c r="A86" s="146"/>
    </row>
    <row r="88" spans="1:1">
      <c r="A88" s="163"/>
    </row>
    <row r="90" spans="1:1">
      <c r="A90" s="144"/>
    </row>
    <row r="91" spans="1:1">
      <c r="A91" s="144"/>
    </row>
    <row r="92" spans="1:1">
      <c r="A92" s="144"/>
    </row>
    <row r="93" spans="1:1">
      <c r="A93" s="144"/>
    </row>
    <row r="94" spans="1:1">
      <c r="A94" s="144"/>
    </row>
    <row r="95" spans="1:1">
      <c r="A95" s="144"/>
    </row>
    <row r="96" spans="1:1">
      <c r="A96" s="144"/>
    </row>
    <row r="97" spans="1:11">
      <c r="A97" s="144"/>
    </row>
    <row r="98" spans="1:11">
      <c r="A98" s="144"/>
    </row>
    <row r="99" spans="1:11">
      <c r="A99" s="144"/>
    </row>
    <row r="103" spans="1:11">
      <c r="A103" s="144"/>
      <c r="K103" s="373" t="str">
        <f>""</f>
        <v/>
      </c>
    </row>
    <row r="105" spans="1:11">
      <c r="A105" s="144"/>
    </row>
    <row r="106" spans="1:11">
      <c r="A106" s="144"/>
    </row>
  </sheetData>
  <sheetProtection formatCells="0" formatColumns="0" formatRows="0" insertHyperlinks="0"/>
  <mergeCells count="2">
    <mergeCell ref="C45:E45"/>
    <mergeCell ref="C43:J44"/>
  </mergeCells>
  <printOptions horizontalCentered="1" verticalCentered="1"/>
  <pageMargins left="0.19685039370078741" right="0.19685039370078741" top="0.19685039370078741" bottom="0.19685039370078741" header="0.31496062992125984" footer="0.31496062992125984"/>
  <pageSetup paperSize="9" scale="77" fitToHeight="0" orientation="portrait" r:id="rId1"/>
  <headerFooter differentFirst="1">
    <oddFooter>&amp;C&amp;P</oddFooter>
  </headerFooter>
  <ignoredErrors>
    <ignoredError sqref="C45 C43" unlockedFormula="1"/>
  </ignoredErrors>
  <picture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7">
    <tabColor theme="2" tint="-0.249977111117893"/>
    <pageSetUpPr fitToPage="1"/>
  </sheetPr>
  <dimension ref="A1:Q1052"/>
  <sheetViews>
    <sheetView showGridLines="0" zoomScaleNormal="100" workbookViewId="0">
      <selection activeCell="B2" sqref="B2"/>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"2.7 - Investments - "&amp;'1.1 The situation'!$B$19</f>
        <v xml:space="preserve">2.7 - Investments - </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1027</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t="s">
        <v>1378</v>
      </c>
      <c r="E6" s="850"/>
      <c r="F6" s="850"/>
      <c r="G6" s="144"/>
    </row>
    <row r="7" spans="1:17" ht="15" customHeight="1">
      <c r="B7" s="132"/>
      <c r="C7" s="132"/>
      <c r="D7" s="132"/>
      <c r="E7" s="132"/>
      <c r="F7" s="132"/>
    </row>
    <row r="8" spans="1:17" ht="30" customHeight="1">
      <c r="B8" s="673" t="s">
        <v>361</v>
      </c>
      <c r="C8" s="673" t="s">
        <v>324</v>
      </c>
      <c r="D8" s="673" t="s">
        <v>316</v>
      </c>
      <c r="E8" s="673" t="s">
        <v>993</v>
      </c>
      <c r="F8" s="673" t="s">
        <v>317</v>
      </c>
      <c r="G8" s="673"/>
      <c r="H8" s="673"/>
      <c r="I8" s="673"/>
      <c r="J8" s="673"/>
      <c r="K8" s="673" t="s">
        <v>40</v>
      </c>
      <c r="L8" s="673" t="s">
        <v>362</v>
      </c>
      <c r="M8" s="674"/>
      <c r="N8" s="673" t="s">
        <v>358</v>
      </c>
      <c r="O8" s="144"/>
      <c r="Q8" s="43"/>
    </row>
    <row r="9" spans="1:17" ht="29.25" customHeight="1">
      <c r="B9" s="673" t="s">
        <v>361</v>
      </c>
      <c r="C9" s="673"/>
      <c r="D9" s="673"/>
      <c r="E9" s="833"/>
      <c r="F9" s="198">
        <v>2020</v>
      </c>
      <c r="G9" s="198">
        <v>2021</v>
      </c>
      <c r="H9" s="198">
        <v>2022</v>
      </c>
      <c r="I9" s="198">
        <v>2023</v>
      </c>
      <c r="J9" s="198">
        <v>2024</v>
      </c>
      <c r="K9" s="673"/>
      <c r="L9" s="136" t="s">
        <v>303</v>
      </c>
      <c r="M9" s="136" t="s">
        <v>264</v>
      </c>
      <c r="N9" s="673"/>
      <c r="O9" s="144"/>
    </row>
    <row r="10" spans="1:17" hidden="1">
      <c r="A10" s="216"/>
      <c r="B10" s="217">
        <v>1</v>
      </c>
      <c r="C10" s="218"/>
      <c r="D10" s="205"/>
      <c r="E10" s="205"/>
      <c r="F10" s="205"/>
      <c r="G10" s="205"/>
      <c r="H10" s="205"/>
      <c r="I10" s="205"/>
      <c r="J10" s="205"/>
      <c r="K10" s="205"/>
      <c r="L10" s="219"/>
      <c r="M10" s="219"/>
      <c r="N10" s="220"/>
      <c r="O10" s="144"/>
    </row>
    <row r="11" spans="1:17" hidden="1">
      <c r="A11" s="216"/>
      <c r="B11" s="217">
        <v>2</v>
      </c>
      <c r="C11" s="218"/>
      <c r="D11" s="205"/>
      <c r="E11" s="205"/>
      <c r="F11" s="205"/>
      <c r="G11" s="205"/>
      <c r="H11" s="205"/>
      <c r="I11" s="205"/>
      <c r="J11" s="205"/>
      <c r="K11" s="205"/>
      <c r="L11" s="219"/>
      <c r="M11" s="219"/>
      <c r="N11" s="220"/>
      <c r="O11" s="144"/>
    </row>
    <row r="12" spans="1:17" hidden="1">
      <c r="A12" s="216"/>
      <c r="B12" s="217">
        <v>3</v>
      </c>
      <c r="C12" s="218"/>
      <c r="D12" s="205"/>
      <c r="E12" s="205"/>
      <c r="F12" s="205"/>
      <c r="G12" s="205"/>
      <c r="H12" s="205"/>
      <c r="I12" s="205"/>
      <c r="J12" s="205"/>
      <c r="K12" s="205"/>
      <c r="L12" s="219"/>
      <c r="M12" s="219"/>
      <c r="N12" s="220"/>
      <c r="O12" s="144"/>
    </row>
    <row r="13" spans="1:17" hidden="1">
      <c r="A13" s="216"/>
      <c r="B13" s="217">
        <v>4</v>
      </c>
      <c r="C13" s="218"/>
      <c r="D13" s="205"/>
      <c r="E13" s="205"/>
      <c r="F13" s="205"/>
      <c r="G13" s="205"/>
      <c r="H13" s="205"/>
      <c r="I13" s="205"/>
      <c r="J13" s="205"/>
      <c r="K13" s="205"/>
      <c r="L13" s="219"/>
      <c r="M13" s="219"/>
      <c r="N13" s="220"/>
      <c r="O13" s="144"/>
    </row>
    <row r="14" spans="1:17" hidden="1">
      <c r="A14" s="216"/>
      <c r="B14" s="217">
        <v>5</v>
      </c>
      <c r="C14" s="218"/>
      <c r="D14" s="205"/>
      <c r="E14" s="205"/>
      <c r="F14" s="205"/>
      <c r="G14" s="205"/>
      <c r="H14" s="205"/>
      <c r="I14" s="205"/>
      <c r="J14" s="205"/>
      <c r="K14" s="205"/>
      <c r="L14" s="219"/>
      <c r="M14" s="219"/>
      <c r="N14" s="220"/>
      <c r="O14" s="144"/>
    </row>
    <row r="15" spans="1:17" hidden="1">
      <c r="A15" s="216"/>
      <c r="B15" s="217">
        <v>6</v>
      </c>
      <c r="C15" s="218"/>
      <c r="D15" s="205"/>
      <c r="E15" s="205"/>
      <c r="F15" s="205"/>
      <c r="G15" s="205"/>
      <c r="H15" s="205"/>
      <c r="I15" s="205"/>
      <c r="J15" s="205"/>
      <c r="K15" s="205"/>
      <c r="L15" s="219"/>
      <c r="M15" s="219"/>
      <c r="N15" s="220"/>
      <c r="O15" s="144"/>
    </row>
    <row r="16" spans="1:17" hidden="1">
      <c r="A16" s="216"/>
      <c r="B16" s="217">
        <v>7</v>
      </c>
      <c r="C16" s="218"/>
      <c r="D16" s="205"/>
      <c r="E16" s="205"/>
      <c r="F16" s="205"/>
      <c r="G16" s="205"/>
      <c r="H16" s="205"/>
      <c r="I16" s="205"/>
      <c r="J16" s="205"/>
      <c r="K16" s="205"/>
      <c r="L16" s="219"/>
      <c r="M16" s="219"/>
      <c r="N16" s="220"/>
      <c r="O16" s="144"/>
    </row>
    <row r="17" spans="1:15" hidden="1">
      <c r="A17" s="216"/>
      <c r="B17" s="217">
        <v>8</v>
      </c>
      <c r="C17" s="218"/>
      <c r="D17" s="205"/>
      <c r="E17" s="205"/>
      <c r="F17" s="205"/>
      <c r="G17" s="205"/>
      <c r="H17" s="205"/>
      <c r="I17" s="205"/>
      <c r="J17" s="205"/>
      <c r="K17" s="205"/>
      <c r="L17" s="219"/>
      <c r="M17" s="219"/>
      <c r="N17" s="220"/>
      <c r="O17" s="144"/>
    </row>
    <row r="18" spans="1:15" ht="15" hidden="1" customHeight="1">
      <c r="A18" s="216"/>
      <c r="B18" s="217">
        <v>9</v>
      </c>
      <c r="C18" s="218"/>
      <c r="D18" s="205"/>
      <c r="E18" s="205"/>
      <c r="F18" s="205"/>
      <c r="G18" s="205"/>
      <c r="H18" s="205"/>
      <c r="I18" s="205"/>
      <c r="J18" s="205"/>
      <c r="K18" s="205"/>
      <c r="L18" s="219"/>
      <c r="M18" s="219"/>
      <c r="N18" s="220"/>
      <c r="O18" s="144"/>
    </row>
    <row r="19" spans="1:15" ht="15" hidden="1" customHeight="1">
      <c r="A19" s="216"/>
      <c r="B19" s="217">
        <v>10</v>
      </c>
      <c r="C19" s="218"/>
      <c r="D19" s="205"/>
      <c r="E19" s="205"/>
      <c r="F19" s="205"/>
      <c r="G19" s="205"/>
      <c r="H19" s="205"/>
      <c r="I19" s="205"/>
      <c r="J19" s="205"/>
      <c r="K19" s="205"/>
      <c r="L19" s="219"/>
      <c r="M19" s="219"/>
      <c r="N19" s="220"/>
      <c r="O19" s="144"/>
    </row>
    <row r="20" spans="1:15" hidden="1">
      <c r="A20" s="216"/>
      <c r="B20" s="217">
        <v>11</v>
      </c>
      <c r="C20" s="218"/>
      <c r="D20" s="205"/>
      <c r="E20" s="205"/>
      <c r="F20" s="205"/>
      <c r="G20" s="205"/>
      <c r="H20" s="205"/>
      <c r="I20" s="205"/>
      <c r="J20" s="205"/>
      <c r="K20" s="205"/>
      <c r="L20" s="219"/>
      <c r="M20" s="219"/>
      <c r="N20" s="220"/>
      <c r="O20" s="144"/>
    </row>
    <row r="21" spans="1:15" ht="15" hidden="1" customHeight="1">
      <c r="A21" s="216"/>
      <c r="B21" s="217">
        <v>12</v>
      </c>
      <c r="C21" s="218"/>
      <c r="D21" s="205"/>
      <c r="E21" s="205"/>
      <c r="F21" s="205"/>
      <c r="G21" s="205"/>
      <c r="H21" s="205"/>
      <c r="I21" s="205"/>
      <c r="J21" s="205"/>
      <c r="K21" s="205"/>
      <c r="L21" s="219"/>
      <c r="M21" s="219"/>
      <c r="N21" s="220"/>
      <c r="O21" s="144"/>
    </row>
    <row r="22" spans="1:15" hidden="1">
      <c r="A22" s="216"/>
      <c r="B22" s="217">
        <v>13</v>
      </c>
      <c r="C22" s="218"/>
      <c r="D22" s="205"/>
      <c r="E22" s="205"/>
      <c r="F22" s="205"/>
      <c r="G22" s="205"/>
      <c r="H22" s="205"/>
      <c r="I22" s="205"/>
      <c r="J22" s="205"/>
      <c r="K22" s="205"/>
      <c r="L22" s="219"/>
      <c r="M22" s="219"/>
      <c r="N22" s="220"/>
      <c r="O22" s="144"/>
    </row>
    <row r="23" spans="1:15" hidden="1">
      <c r="A23" s="216"/>
      <c r="B23" s="217">
        <v>14</v>
      </c>
      <c r="C23" s="218"/>
      <c r="D23" s="205"/>
      <c r="E23" s="205"/>
      <c r="F23" s="205"/>
      <c r="G23" s="205"/>
      <c r="H23" s="205"/>
      <c r="I23" s="205"/>
      <c r="J23" s="205"/>
      <c r="K23" s="205"/>
      <c r="L23" s="219"/>
      <c r="M23" s="219"/>
      <c r="N23" s="220"/>
      <c r="O23" s="144"/>
    </row>
    <row r="24" spans="1:15" hidden="1">
      <c r="A24" s="216"/>
      <c r="B24" s="217">
        <v>15</v>
      </c>
      <c r="C24" s="218"/>
      <c r="D24" s="205"/>
      <c r="E24" s="205"/>
      <c r="F24" s="205"/>
      <c r="G24" s="205"/>
      <c r="H24" s="205"/>
      <c r="I24" s="205"/>
      <c r="J24" s="205"/>
      <c r="K24" s="205"/>
      <c r="L24" s="219"/>
      <c r="M24" s="219"/>
      <c r="N24" s="220"/>
      <c r="O24" s="144"/>
    </row>
    <row r="25" spans="1:15" hidden="1">
      <c r="A25" s="216"/>
      <c r="B25" s="217">
        <v>16</v>
      </c>
      <c r="C25" s="218"/>
      <c r="D25" s="205"/>
      <c r="E25" s="205"/>
      <c r="F25" s="205"/>
      <c r="G25" s="205"/>
      <c r="H25" s="205"/>
      <c r="I25" s="205"/>
      <c r="J25" s="205"/>
      <c r="K25" s="205"/>
      <c r="L25" s="219"/>
      <c r="M25" s="219"/>
      <c r="N25" s="220"/>
      <c r="O25" s="144"/>
    </row>
    <row r="26" spans="1:15" hidden="1">
      <c r="A26" s="216"/>
      <c r="B26" s="217">
        <v>17</v>
      </c>
      <c r="C26" s="218"/>
      <c r="D26" s="205"/>
      <c r="E26" s="205"/>
      <c r="F26" s="205"/>
      <c r="G26" s="205"/>
      <c r="H26" s="205"/>
      <c r="I26" s="205"/>
      <c r="J26" s="205"/>
      <c r="K26" s="205"/>
      <c r="L26" s="219"/>
      <c r="M26" s="219"/>
      <c r="N26" s="220"/>
      <c r="O26" s="144"/>
    </row>
    <row r="27" spans="1:15" hidden="1">
      <c r="A27" s="216"/>
      <c r="B27" s="217">
        <v>18</v>
      </c>
      <c r="C27" s="218"/>
      <c r="D27" s="205"/>
      <c r="E27" s="205"/>
      <c r="F27" s="205"/>
      <c r="G27" s="205"/>
      <c r="H27" s="205"/>
      <c r="I27" s="205"/>
      <c r="J27" s="205"/>
      <c r="K27" s="205"/>
      <c r="L27" s="219"/>
      <c r="M27" s="219"/>
      <c r="N27" s="220"/>
      <c r="O27" s="144"/>
    </row>
    <row r="28" spans="1:15" hidden="1">
      <c r="A28" s="216"/>
      <c r="B28" s="217">
        <v>19</v>
      </c>
      <c r="C28" s="218"/>
      <c r="D28" s="205"/>
      <c r="E28" s="205"/>
      <c r="F28" s="205"/>
      <c r="G28" s="205"/>
      <c r="H28" s="205"/>
      <c r="I28" s="205"/>
      <c r="J28" s="205"/>
      <c r="K28" s="205"/>
      <c r="L28" s="219"/>
      <c r="M28" s="219"/>
      <c r="N28" s="220"/>
      <c r="O28" s="144"/>
    </row>
    <row r="29" spans="1:15" hidden="1">
      <c r="A29" s="216"/>
      <c r="B29" s="217">
        <v>20</v>
      </c>
      <c r="C29" s="218"/>
      <c r="D29" s="205"/>
      <c r="E29" s="205"/>
      <c r="F29" s="205"/>
      <c r="G29" s="205"/>
      <c r="H29" s="205"/>
      <c r="I29" s="205"/>
      <c r="J29" s="205"/>
      <c r="K29" s="205"/>
      <c r="L29" s="219"/>
      <c r="M29" s="219"/>
      <c r="N29" s="220"/>
      <c r="O29" s="144"/>
    </row>
    <row r="30" spans="1:15" hidden="1">
      <c r="A30" s="216"/>
      <c r="B30" s="217">
        <v>21</v>
      </c>
      <c r="C30" s="218"/>
      <c r="D30" s="205"/>
      <c r="E30" s="205"/>
      <c r="F30" s="205"/>
      <c r="G30" s="205"/>
      <c r="H30" s="205"/>
      <c r="I30" s="205"/>
      <c r="J30" s="205"/>
      <c r="K30" s="205"/>
      <c r="L30" s="219"/>
      <c r="M30" s="219"/>
      <c r="N30" s="220"/>
      <c r="O30" s="144"/>
    </row>
    <row r="31" spans="1:15" hidden="1">
      <c r="A31" s="216"/>
      <c r="B31" s="217">
        <v>22</v>
      </c>
      <c r="C31" s="218"/>
      <c r="D31" s="205"/>
      <c r="E31" s="205"/>
      <c r="F31" s="205"/>
      <c r="G31" s="205"/>
      <c r="H31" s="205"/>
      <c r="I31" s="205"/>
      <c r="J31" s="205"/>
      <c r="K31" s="205"/>
      <c r="L31" s="219"/>
      <c r="M31" s="219"/>
      <c r="N31" s="220"/>
      <c r="O31" s="144"/>
    </row>
    <row r="32" spans="1:15" hidden="1">
      <c r="A32" s="216"/>
      <c r="B32" s="217">
        <v>23</v>
      </c>
      <c r="C32" s="218"/>
      <c r="D32" s="205"/>
      <c r="E32" s="205"/>
      <c r="F32" s="205"/>
      <c r="G32" s="205"/>
      <c r="H32" s="205"/>
      <c r="I32" s="205"/>
      <c r="J32" s="205"/>
      <c r="K32" s="205"/>
      <c r="L32" s="219"/>
      <c r="M32" s="219"/>
      <c r="N32" s="220"/>
      <c r="O32" s="144"/>
    </row>
    <row r="33" spans="1:15" hidden="1">
      <c r="A33" s="216"/>
      <c r="B33" s="217">
        <v>24</v>
      </c>
      <c r="C33" s="218"/>
      <c r="D33" s="205"/>
      <c r="E33" s="205"/>
      <c r="F33" s="205"/>
      <c r="G33" s="205"/>
      <c r="H33" s="205"/>
      <c r="I33" s="205"/>
      <c r="J33" s="205"/>
      <c r="K33" s="205"/>
      <c r="L33" s="219"/>
      <c r="M33" s="219"/>
      <c r="N33" s="220"/>
      <c r="O33" s="144"/>
    </row>
    <row r="34" spans="1:15" hidden="1">
      <c r="A34" s="216"/>
      <c r="B34" s="217">
        <v>25</v>
      </c>
      <c r="C34" s="218"/>
      <c r="D34" s="205"/>
      <c r="E34" s="205"/>
      <c r="F34" s="205"/>
      <c r="G34" s="205"/>
      <c r="H34" s="205"/>
      <c r="I34" s="205"/>
      <c r="J34" s="205"/>
      <c r="K34" s="205"/>
      <c r="L34" s="219"/>
      <c r="M34" s="219"/>
      <c r="N34" s="220"/>
      <c r="O34" s="144"/>
    </row>
    <row r="35" spans="1:15" hidden="1">
      <c r="A35" s="216"/>
      <c r="B35" s="217">
        <v>26</v>
      </c>
      <c r="C35" s="218"/>
      <c r="D35" s="205"/>
      <c r="E35" s="205"/>
      <c r="F35" s="205"/>
      <c r="G35" s="205"/>
      <c r="H35" s="205"/>
      <c r="I35" s="205"/>
      <c r="J35" s="205"/>
      <c r="K35" s="205"/>
      <c r="L35" s="219"/>
      <c r="M35" s="219"/>
      <c r="N35" s="220"/>
      <c r="O35" s="144"/>
    </row>
    <row r="36" spans="1:15" hidden="1">
      <c r="A36" s="216"/>
      <c r="B36" s="217">
        <v>27</v>
      </c>
      <c r="C36" s="218"/>
      <c r="D36" s="205"/>
      <c r="E36" s="205"/>
      <c r="F36" s="205"/>
      <c r="G36" s="205"/>
      <c r="H36" s="205"/>
      <c r="I36" s="205"/>
      <c r="J36" s="205"/>
      <c r="K36" s="205"/>
      <c r="L36" s="219"/>
      <c r="M36" s="219"/>
      <c r="N36" s="220"/>
      <c r="O36" s="144"/>
    </row>
    <row r="37" spans="1:15" hidden="1">
      <c r="A37" s="216"/>
      <c r="B37" s="217">
        <v>28</v>
      </c>
      <c r="C37" s="218"/>
      <c r="D37" s="205"/>
      <c r="E37" s="205"/>
      <c r="F37" s="205"/>
      <c r="G37" s="205"/>
      <c r="H37" s="205"/>
      <c r="I37" s="205"/>
      <c r="J37" s="205"/>
      <c r="K37" s="205"/>
      <c r="L37" s="219"/>
      <c r="M37" s="219"/>
      <c r="N37" s="220"/>
      <c r="O37" s="144"/>
    </row>
    <row r="38" spans="1:15" hidden="1">
      <c r="A38" s="216"/>
      <c r="B38" s="217">
        <v>29</v>
      </c>
      <c r="C38" s="218"/>
      <c r="D38" s="205"/>
      <c r="E38" s="205"/>
      <c r="F38" s="205"/>
      <c r="G38" s="205"/>
      <c r="H38" s="205"/>
      <c r="I38" s="205"/>
      <c r="J38" s="205"/>
      <c r="K38" s="205"/>
      <c r="L38" s="219"/>
      <c r="M38" s="219"/>
      <c r="N38" s="220"/>
      <c r="O38" s="144"/>
    </row>
    <row r="39" spans="1:15" hidden="1">
      <c r="A39" s="216"/>
      <c r="B39" s="217">
        <v>30</v>
      </c>
      <c r="C39" s="218"/>
      <c r="D39" s="205"/>
      <c r="E39" s="205"/>
      <c r="F39" s="205"/>
      <c r="G39" s="205"/>
      <c r="H39" s="205"/>
      <c r="I39" s="205"/>
      <c r="J39" s="205"/>
      <c r="K39" s="205"/>
      <c r="L39" s="219"/>
      <c r="M39" s="219"/>
      <c r="N39" s="220"/>
      <c r="O39" s="144"/>
    </row>
    <row r="40" spans="1:15" hidden="1">
      <c r="A40" s="216"/>
      <c r="B40" s="217">
        <v>31</v>
      </c>
      <c r="C40" s="218"/>
      <c r="D40" s="205"/>
      <c r="E40" s="205"/>
      <c r="F40" s="205"/>
      <c r="G40" s="205"/>
      <c r="H40" s="205"/>
      <c r="I40" s="205"/>
      <c r="J40" s="205"/>
      <c r="K40" s="205"/>
      <c r="L40" s="219"/>
      <c r="M40" s="219"/>
      <c r="N40" s="220"/>
      <c r="O40" s="144"/>
    </row>
    <row r="41" spans="1:15" hidden="1">
      <c r="A41" s="216"/>
      <c r="B41" s="217">
        <v>32</v>
      </c>
      <c r="C41" s="218"/>
      <c r="D41" s="205"/>
      <c r="E41" s="205"/>
      <c r="F41" s="205"/>
      <c r="G41" s="205"/>
      <c r="H41" s="205"/>
      <c r="I41" s="205"/>
      <c r="J41" s="205"/>
      <c r="K41" s="205"/>
      <c r="L41" s="219"/>
      <c r="M41" s="219"/>
      <c r="N41" s="220"/>
      <c r="O41" s="144"/>
    </row>
    <row r="42" spans="1:15" hidden="1">
      <c r="A42" s="216"/>
      <c r="B42" s="217">
        <v>33</v>
      </c>
      <c r="C42" s="218"/>
      <c r="D42" s="205"/>
      <c r="E42" s="205"/>
      <c r="F42" s="205"/>
      <c r="G42" s="205"/>
      <c r="H42" s="205"/>
      <c r="I42" s="205"/>
      <c r="J42" s="205"/>
      <c r="K42" s="205"/>
      <c r="L42" s="219"/>
      <c r="M42" s="219"/>
      <c r="N42" s="220"/>
      <c r="O42" s="144"/>
    </row>
    <row r="43" spans="1:15" hidden="1">
      <c r="A43" s="216"/>
      <c r="B43" s="217">
        <v>34</v>
      </c>
      <c r="C43" s="218"/>
      <c r="D43" s="205"/>
      <c r="E43" s="205"/>
      <c r="F43" s="205"/>
      <c r="G43" s="205"/>
      <c r="H43" s="205"/>
      <c r="I43" s="205"/>
      <c r="J43" s="205"/>
      <c r="K43" s="205"/>
      <c r="L43" s="219"/>
      <c r="M43" s="219"/>
      <c r="N43" s="220"/>
      <c r="O43" s="144"/>
    </row>
    <row r="44" spans="1:15" hidden="1">
      <c r="A44" s="216"/>
      <c r="B44" s="217">
        <v>35</v>
      </c>
      <c r="C44" s="218"/>
      <c r="D44" s="205"/>
      <c r="E44" s="205"/>
      <c r="F44" s="205"/>
      <c r="G44" s="205"/>
      <c r="H44" s="205"/>
      <c r="I44" s="205"/>
      <c r="J44" s="205"/>
      <c r="K44" s="205"/>
      <c r="L44" s="219"/>
      <c r="M44" s="219"/>
      <c r="N44" s="220"/>
      <c r="O44" s="144"/>
    </row>
    <row r="45" spans="1:15" hidden="1">
      <c r="A45" s="216"/>
      <c r="B45" s="217">
        <v>36</v>
      </c>
      <c r="C45" s="218"/>
      <c r="D45" s="205"/>
      <c r="E45" s="205"/>
      <c r="F45" s="205"/>
      <c r="G45" s="205"/>
      <c r="H45" s="205"/>
      <c r="I45" s="205"/>
      <c r="J45" s="205"/>
      <c r="K45" s="205"/>
      <c r="L45" s="219"/>
      <c r="M45" s="219"/>
      <c r="N45" s="220"/>
      <c r="O45" s="144"/>
    </row>
    <row r="46" spans="1:15" hidden="1">
      <c r="A46" s="216"/>
      <c r="B46" s="217">
        <v>37</v>
      </c>
      <c r="C46" s="218"/>
      <c r="D46" s="205"/>
      <c r="E46" s="205"/>
      <c r="F46" s="205"/>
      <c r="G46" s="205"/>
      <c r="H46" s="205"/>
      <c r="I46" s="205"/>
      <c r="J46" s="205"/>
      <c r="K46" s="205"/>
      <c r="L46" s="219"/>
      <c r="M46" s="219"/>
      <c r="N46" s="220"/>
      <c r="O46" s="144"/>
    </row>
    <row r="47" spans="1:15" hidden="1">
      <c r="A47" s="216"/>
      <c r="B47" s="217">
        <v>38</v>
      </c>
      <c r="C47" s="218"/>
      <c r="D47" s="205"/>
      <c r="E47" s="205"/>
      <c r="F47" s="205"/>
      <c r="G47" s="205"/>
      <c r="H47" s="205"/>
      <c r="I47" s="205"/>
      <c r="J47" s="205"/>
      <c r="K47" s="205"/>
      <c r="L47" s="219"/>
      <c r="M47" s="219"/>
      <c r="N47" s="220"/>
      <c r="O47" s="144"/>
    </row>
    <row r="48" spans="1:15" hidden="1">
      <c r="A48" s="216"/>
      <c r="B48" s="217">
        <v>39</v>
      </c>
      <c r="C48" s="218"/>
      <c r="D48" s="205"/>
      <c r="E48" s="205"/>
      <c r="F48" s="205"/>
      <c r="G48" s="205"/>
      <c r="H48" s="205"/>
      <c r="I48" s="205"/>
      <c r="J48" s="205"/>
      <c r="K48" s="205"/>
      <c r="L48" s="219"/>
      <c r="M48" s="219"/>
      <c r="N48" s="220"/>
      <c r="O48" s="144"/>
    </row>
    <row r="49" spans="1:15" hidden="1">
      <c r="A49" s="216"/>
      <c r="B49" s="217">
        <v>40</v>
      </c>
      <c r="C49" s="218"/>
      <c r="D49" s="205"/>
      <c r="E49" s="205"/>
      <c r="F49" s="205"/>
      <c r="G49" s="205"/>
      <c r="H49" s="205"/>
      <c r="I49" s="205"/>
      <c r="J49" s="205"/>
      <c r="K49" s="205"/>
      <c r="L49" s="219"/>
      <c r="M49" s="219"/>
      <c r="N49" s="220"/>
      <c r="O49" s="144"/>
    </row>
    <row r="50" spans="1:15" hidden="1">
      <c r="A50" s="216"/>
      <c r="B50" s="217">
        <v>41</v>
      </c>
      <c r="C50" s="218"/>
      <c r="D50" s="205"/>
      <c r="E50" s="205"/>
      <c r="F50" s="205"/>
      <c r="G50" s="205"/>
      <c r="H50" s="205"/>
      <c r="I50" s="205"/>
      <c r="J50" s="205"/>
      <c r="K50" s="205"/>
      <c r="L50" s="219"/>
      <c r="M50" s="219"/>
      <c r="N50" s="220"/>
      <c r="O50" s="144"/>
    </row>
    <row r="51" spans="1:15" hidden="1">
      <c r="A51" s="216"/>
      <c r="B51" s="217">
        <v>42</v>
      </c>
      <c r="C51" s="218"/>
      <c r="D51" s="205"/>
      <c r="E51" s="205"/>
      <c r="F51" s="205"/>
      <c r="G51" s="205"/>
      <c r="H51" s="205"/>
      <c r="I51" s="205"/>
      <c r="J51" s="205"/>
      <c r="K51" s="205"/>
      <c r="L51" s="219"/>
      <c r="M51" s="219"/>
      <c r="N51" s="220"/>
      <c r="O51" s="144"/>
    </row>
    <row r="52" spans="1:15" hidden="1">
      <c r="A52" s="216"/>
      <c r="B52" s="217">
        <v>43</v>
      </c>
      <c r="C52" s="218"/>
      <c r="D52" s="205"/>
      <c r="E52" s="205"/>
      <c r="F52" s="205"/>
      <c r="G52" s="205"/>
      <c r="H52" s="205"/>
      <c r="I52" s="205"/>
      <c r="J52" s="205"/>
      <c r="K52" s="205"/>
      <c r="L52" s="219"/>
      <c r="M52" s="219"/>
      <c r="N52" s="220"/>
      <c r="O52" s="144"/>
    </row>
    <row r="53" spans="1:15" hidden="1">
      <c r="A53" s="216"/>
      <c r="B53" s="217">
        <v>44</v>
      </c>
      <c r="C53" s="218"/>
      <c r="D53" s="205"/>
      <c r="E53" s="205"/>
      <c r="F53" s="205"/>
      <c r="G53" s="205"/>
      <c r="H53" s="205"/>
      <c r="I53" s="205"/>
      <c r="J53" s="205"/>
      <c r="K53" s="205"/>
      <c r="L53" s="219"/>
      <c r="M53" s="219"/>
      <c r="N53" s="220"/>
      <c r="O53" s="144"/>
    </row>
    <row r="54" spans="1:15" hidden="1">
      <c r="A54" s="216"/>
      <c r="B54" s="217">
        <v>45</v>
      </c>
      <c r="C54" s="218"/>
      <c r="D54" s="205"/>
      <c r="E54" s="205"/>
      <c r="F54" s="205"/>
      <c r="G54" s="205"/>
      <c r="H54" s="205"/>
      <c r="I54" s="205"/>
      <c r="J54" s="205"/>
      <c r="K54" s="205"/>
      <c r="L54" s="219"/>
      <c r="M54" s="219"/>
      <c r="N54" s="220"/>
      <c r="O54" s="144"/>
    </row>
    <row r="55" spans="1:15" hidden="1">
      <c r="A55" s="216"/>
      <c r="B55" s="217">
        <v>46</v>
      </c>
      <c r="C55" s="218"/>
      <c r="D55" s="205"/>
      <c r="E55" s="205"/>
      <c r="F55" s="205"/>
      <c r="G55" s="205"/>
      <c r="H55" s="205"/>
      <c r="I55" s="205"/>
      <c r="J55" s="205"/>
      <c r="K55" s="205"/>
      <c r="L55" s="219"/>
      <c r="M55" s="219"/>
      <c r="N55" s="220"/>
      <c r="O55" s="144"/>
    </row>
    <row r="56" spans="1:15" hidden="1">
      <c r="A56" s="216"/>
      <c r="B56" s="217">
        <v>47</v>
      </c>
      <c r="C56" s="218"/>
      <c r="D56" s="205"/>
      <c r="E56" s="205"/>
      <c r="F56" s="205"/>
      <c r="G56" s="205"/>
      <c r="H56" s="205"/>
      <c r="I56" s="205"/>
      <c r="J56" s="205"/>
      <c r="K56" s="205"/>
      <c r="L56" s="219"/>
      <c r="M56" s="219"/>
      <c r="N56" s="220"/>
      <c r="O56" s="144"/>
    </row>
    <row r="57" spans="1:15" hidden="1">
      <c r="A57" s="216"/>
      <c r="B57" s="217">
        <v>48</v>
      </c>
      <c r="C57" s="218"/>
      <c r="D57" s="205"/>
      <c r="E57" s="205"/>
      <c r="F57" s="205"/>
      <c r="G57" s="205"/>
      <c r="H57" s="205"/>
      <c r="I57" s="205"/>
      <c r="J57" s="205"/>
      <c r="K57" s="205"/>
      <c r="L57" s="219"/>
      <c r="M57" s="219"/>
      <c r="N57" s="220"/>
      <c r="O57" s="144"/>
    </row>
    <row r="58" spans="1:15" hidden="1">
      <c r="A58" s="216"/>
      <c r="B58" s="217">
        <v>49</v>
      </c>
      <c r="C58" s="218"/>
      <c r="D58" s="205"/>
      <c r="E58" s="205"/>
      <c r="F58" s="205"/>
      <c r="G58" s="205"/>
      <c r="H58" s="205"/>
      <c r="I58" s="205"/>
      <c r="J58" s="205"/>
      <c r="K58" s="205"/>
      <c r="L58" s="219"/>
      <c r="M58" s="219"/>
      <c r="N58" s="220"/>
      <c r="O58" s="144"/>
    </row>
    <row r="59" spans="1:15" hidden="1">
      <c r="A59" s="216"/>
      <c r="B59" s="217">
        <v>50</v>
      </c>
      <c r="C59" s="218"/>
      <c r="D59" s="205"/>
      <c r="E59" s="205"/>
      <c r="F59" s="205"/>
      <c r="G59" s="205"/>
      <c r="H59" s="205"/>
      <c r="I59" s="205"/>
      <c r="J59" s="205"/>
      <c r="K59" s="205"/>
      <c r="L59" s="219"/>
      <c r="M59" s="219"/>
      <c r="N59" s="220"/>
      <c r="O59" s="144"/>
    </row>
    <row r="60" spans="1:15" ht="28.5" customHeight="1">
      <c r="B60" s="654" t="s">
        <v>319</v>
      </c>
      <c r="C60" s="655"/>
      <c r="D60" s="221">
        <f t="shared" ref="D60:J60" si="0">SUM(D10:D59)</f>
        <v>0</v>
      </c>
      <c r="E60" s="221">
        <f t="shared" si="0"/>
        <v>0</v>
      </c>
      <c r="F60" s="221">
        <f t="shared" si="0"/>
        <v>0</v>
      </c>
      <c r="G60" s="221">
        <f t="shared" si="0"/>
        <v>0</v>
      </c>
      <c r="H60" s="221">
        <f t="shared" si="0"/>
        <v>0</v>
      </c>
      <c r="I60" s="221">
        <f t="shared" si="0"/>
        <v>0</v>
      </c>
      <c r="J60" s="221">
        <f t="shared" si="0"/>
        <v>0</v>
      </c>
      <c r="K60" s="176"/>
      <c r="L60" s="176"/>
      <c r="M60" s="176"/>
      <c r="N60" s="176"/>
      <c r="O60" s="144"/>
    </row>
    <row r="61" spans="1:15" ht="30" customHeight="1">
      <c r="B61" s="654" t="s">
        <v>320</v>
      </c>
      <c r="C61" s="655"/>
      <c r="D61" s="205"/>
      <c r="E61" s="205"/>
      <c r="F61" s="205"/>
      <c r="G61" s="205"/>
      <c r="H61" s="205"/>
      <c r="I61" s="205"/>
      <c r="J61" s="205"/>
      <c r="K61" s="176"/>
      <c r="L61" s="219"/>
      <c r="M61" s="219"/>
      <c r="N61" s="176"/>
      <c r="O61" s="144"/>
    </row>
    <row r="62" spans="1:15">
      <c r="B62" s="654" t="s">
        <v>321</v>
      </c>
      <c r="C62" s="655"/>
      <c r="D62" s="176"/>
      <c r="E62" s="176"/>
      <c r="F62" s="205"/>
      <c r="G62" s="205"/>
      <c r="H62" s="205"/>
      <c r="I62" s="205"/>
      <c r="J62" s="205"/>
      <c r="K62" s="176"/>
      <c r="L62" s="219"/>
      <c r="M62" s="219"/>
      <c r="N62" s="176"/>
      <c r="O62" s="144"/>
    </row>
    <row r="63" spans="1:15" ht="30" customHeight="1">
      <c r="B63" s="654" t="s">
        <v>357</v>
      </c>
      <c r="C63" s="655"/>
      <c r="D63" s="221">
        <f>SUM(D60:D62)</f>
        <v>0</v>
      </c>
      <c r="E63" s="221">
        <f>SUM(E60:E62)</f>
        <v>0</v>
      </c>
      <c r="F63" s="221">
        <f t="shared" ref="F63:J63" si="1">SUM(F60:F62)</f>
        <v>0</v>
      </c>
      <c r="G63" s="221">
        <f t="shared" si="1"/>
        <v>0</v>
      </c>
      <c r="H63" s="221">
        <f t="shared" si="1"/>
        <v>0</v>
      </c>
      <c r="I63" s="221">
        <f t="shared" si="1"/>
        <v>0</v>
      </c>
      <c r="J63" s="221">
        <f t="shared" si="1"/>
        <v>0</v>
      </c>
      <c r="K63" s="176"/>
      <c r="L63" s="176"/>
      <c r="M63" s="176"/>
      <c r="N63" s="176"/>
      <c r="O63" s="144"/>
    </row>
    <row r="64" spans="1:15" ht="18.75" customHeight="1">
      <c r="B64" s="778" t="s">
        <v>994</v>
      </c>
      <c r="C64" s="778"/>
      <c r="D64" s="778"/>
      <c r="E64" s="778"/>
      <c r="F64" s="778"/>
      <c r="G64" s="778"/>
      <c r="H64" s="778"/>
      <c r="I64" s="778"/>
      <c r="J64" s="778"/>
      <c r="K64" s="778"/>
      <c r="L64" s="132"/>
      <c r="M64" s="132"/>
      <c r="N64" s="132"/>
    </row>
    <row r="65" spans="1:14" ht="18.75" customHeight="1"/>
    <row r="66" spans="1:14" ht="23.25" customHeight="1">
      <c r="B66" s="32" t="s">
        <v>1028</v>
      </c>
      <c r="C66" s="32"/>
      <c r="D66" s="32"/>
      <c r="E66" s="32"/>
      <c r="F66" s="32"/>
      <c r="G66" s="32"/>
      <c r="H66" s="32"/>
      <c r="I66" s="32"/>
      <c r="J66" s="32"/>
      <c r="K66" s="32"/>
      <c r="L66" s="32"/>
      <c r="M66" s="32"/>
      <c r="N66" s="32"/>
    </row>
    <row r="67" spans="1:14" ht="17.25">
      <c r="B67" s="842" t="s">
        <v>325</v>
      </c>
      <c r="C67" s="842"/>
      <c r="D67" s="842"/>
      <c r="E67" s="842"/>
      <c r="F67" s="842"/>
      <c r="G67" s="842"/>
      <c r="H67" s="842"/>
      <c r="I67" s="842"/>
      <c r="J67" s="842"/>
      <c r="K67" s="842"/>
      <c r="M67" s="32"/>
    </row>
    <row r="69" spans="1:14" s="15" customFormat="1" ht="15" hidden="1" customHeight="1">
      <c r="A69" s="6" t="s">
        <v>693</v>
      </c>
      <c r="C69" s="798" t="s">
        <v>323</v>
      </c>
      <c r="D69" s="799"/>
      <c r="E69" s="800" t="str">
        <f>IF(C10="","",C10)</f>
        <v/>
      </c>
      <c r="F69" s="801"/>
      <c r="G69" s="801"/>
      <c r="H69" s="801"/>
      <c r="I69" s="801"/>
      <c r="J69" s="654" t="s">
        <v>322</v>
      </c>
      <c r="K69" s="655"/>
      <c r="L69" s="802">
        <f>D10</f>
        <v>0</v>
      </c>
      <c r="M69" s="803"/>
      <c r="N69" s="222"/>
    </row>
    <row r="70" spans="1:14" ht="45" hidden="1" customHeight="1">
      <c r="C70" s="654" t="s">
        <v>995</v>
      </c>
      <c r="D70" s="655"/>
      <c r="E70" s="808"/>
      <c r="F70" s="809"/>
      <c r="G70" s="809"/>
      <c r="H70" s="809"/>
      <c r="I70" s="809"/>
      <c r="J70" s="809"/>
      <c r="K70" s="809"/>
      <c r="L70" s="809"/>
      <c r="M70" s="809"/>
      <c r="N70" s="144"/>
    </row>
    <row r="71" spans="1:14" ht="60" hidden="1"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11"/>
      <c r="E71" s="398" t="s">
        <v>240</v>
      </c>
      <c r="F71" s="632"/>
      <c r="G71" s="633"/>
      <c r="H71" s="633"/>
      <c r="I71" s="633"/>
      <c r="J71" s="633"/>
      <c r="K71" s="633"/>
      <c r="L71" s="633"/>
      <c r="M71" s="724"/>
      <c r="N71" s="144"/>
    </row>
    <row r="72" spans="1:14" ht="15" hidden="1"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hidden="1" customHeight="1">
      <c r="C73" s="826"/>
      <c r="D73" s="827"/>
      <c r="E73" s="411"/>
      <c r="F73" s="411"/>
      <c r="G73" s="411"/>
      <c r="H73" s="411"/>
      <c r="I73" s="411"/>
      <c r="J73" s="411"/>
      <c r="K73" s="411"/>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45" hidden="1"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20"/>
      <c r="F81" s="809"/>
      <c r="G81" s="809"/>
      <c r="H81" s="809"/>
      <c r="I81" s="809"/>
      <c r="J81" s="809"/>
      <c r="K81" s="809"/>
      <c r="L81" s="809"/>
      <c r="M81" s="809"/>
      <c r="N81" s="144"/>
    </row>
    <row r="82" spans="1:14" hidden="1">
      <c r="C82" s="654" t="s">
        <v>996</v>
      </c>
      <c r="D82" s="655"/>
      <c r="E82" s="189" t="s">
        <v>240</v>
      </c>
      <c r="F82" s="806"/>
      <c r="G82" s="807"/>
      <c r="H82" s="807"/>
      <c r="I82" s="807"/>
      <c r="J82" s="807"/>
      <c r="K82" s="807"/>
      <c r="L82" s="807"/>
      <c r="M82" s="807"/>
      <c r="N82" s="144"/>
    </row>
    <row r="83" spans="1:14" hidden="1">
      <c r="C83" s="654" t="s">
        <v>326</v>
      </c>
      <c r="D83" s="655"/>
      <c r="E83" s="189" t="s">
        <v>240</v>
      </c>
      <c r="F83" s="806"/>
      <c r="G83" s="807"/>
      <c r="H83" s="807"/>
      <c r="I83" s="807"/>
      <c r="J83" s="807"/>
      <c r="K83" s="807"/>
      <c r="L83" s="807"/>
      <c r="M83" s="807"/>
      <c r="N83" s="144"/>
    </row>
    <row r="84" spans="1:14" hidden="1">
      <c r="C84" s="804" t="s">
        <v>997</v>
      </c>
      <c r="D84" s="805"/>
      <c r="E84" s="189" t="s">
        <v>240</v>
      </c>
      <c r="F84" s="806"/>
      <c r="G84" s="807"/>
      <c r="H84" s="807"/>
      <c r="I84" s="807"/>
      <c r="J84" s="807"/>
      <c r="K84" s="807"/>
      <c r="L84" s="807"/>
      <c r="M84" s="807"/>
      <c r="N84" s="144"/>
    </row>
    <row r="85" spans="1:14" ht="30" hidden="1" customHeight="1">
      <c r="C85" s="804" t="s">
        <v>327</v>
      </c>
      <c r="D85" s="805"/>
      <c r="E85" s="189" t="s">
        <v>240</v>
      </c>
      <c r="F85" s="806"/>
      <c r="G85" s="807"/>
      <c r="H85" s="807"/>
      <c r="I85" s="807"/>
      <c r="J85" s="807"/>
      <c r="K85" s="807"/>
      <c r="L85" s="807"/>
      <c r="M85" s="807"/>
      <c r="N85" s="181"/>
    </row>
    <row r="86" spans="1:14" ht="9" hidden="1" customHeight="1">
      <c r="C86" s="132"/>
      <c r="D86" s="132"/>
      <c r="E86" s="132"/>
      <c r="F86" s="132"/>
      <c r="G86" s="132"/>
      <c r="H86" s="132"/>
      <c r="I86" s="132"/>
      <c r="J86" s="132"/>
      <c r="K86" s="132"/>
      <c r="L86" s="132"/>
      <c r="M86" s="132"/>
    </row>
    <row r="87" spans="1:14" hidden="1">
      <c r="B87"/>
      <c r="C87"/>
      <c r="D87"/>
      <c r="E87"/>
      <c r="F87"/>
      <c r="G87"/>
      <c r="H87"/>
      <c r="I87"/>
      <c r="J87"/>
      <c r="K87"/>
      <c r="L87"/>
      <c r="M87"/>
    </row>
    <row r="88" spans="1:14" s="15" customFormat="1" ht="15" hidden="1" customHeight="1">
      <c r="A88" s="6" t="s">
        <v>693</v>
      </c>
      <c r="C88" s="798" t="s">
        <v>644</v>
      </c>
      <c r="D88" s="799"/>
      <c r="E88" s="800" t="str">
        <f>IF(C11="","",C11)</f>
        <v/>
      </c>
      <c r="F88" s="801"/>
      <c r="G88" s="801"/>
      <c r="H88" s="801"/>
      <c r="I88" s="801"/>
      <c r="J88" s="654" t="s">
        <v>322</v>
      </c>
      <c r="K88" s="655"/>
      <c r="L88" s="802">
        <f>D11</f>
        <v>0</v>
      </c>
      <c r="M88" s="803"/>
      <c r="N88" s="222"/>
    </row>
    <row r="89" spans="1:14" ht="45" hidden="1" customHeight="1">
      <c r="C89" s="654" t="s">
        <v>995</v>
      </c>
      <c r="D89" s="655"/>
      <c r="E89" s="808"/>
      <c r="F89" s="809"/>
      <c r="G89" s="809"/>
      <c r="H89" s="809"/>
      <c r="I89" s="809"/>
      <c r="J89" s="809"/>
      <c r="K89" s="809"/>
      <c r="L89" s="809"/>
      <c r="M89" s="809"/>
      <c r="N89" s="144"/>
    </row>
    <row r="90" spans="1:14" ht="60" hidden="1"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1"/>
      <c r="E90" s="398" t="s">
        <v>240</v>
      </c>
      <c r="F90" s="632"/>
      <c r="G90" s="633"/>
      <c r="H90" s="633"/>
      <c r="I90" s="633"/>
      <c r="J90" s="633"/>
      <c r="K90" s="633"/>
      <c r="L90" s="633"/>
      <c r="M90" s="724"/>
      <c r="N90" s="144"/>
    </row>
    <row r="91" spans="1:14" ht="15" hidden="1"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hidden="1" customHeight="1">
      <c r="C92" s="826"/>
      <c r="D92" s="827"/>
      <c r="E92" s="411"/>
      <c r="F92" s="411"/>
      <c r="G92" s="411"/>
      <c r="H92" s="411"/>
      <c r="I92" s="411"/>
      <c r="J92" s="411"/>
      <c r="K92" s="411"/>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45" hidden="1"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20"/>
      <c r="F100" s="809"/>
      <c r="G100" s="809"/>
      <c r="H100" s="809"/>
      <c r="I100" s="809"/>
      <c r="J100" s="809"/>
      <c r="K100" s="809"/>
      <c r="L100" s="809"/>
      <c r="M100" s="809"/>
      <c r="N100" s="144"/>
    </row>
    <row r="101" spans="1:14" hidden="1">
      <c r="C101" s="654" t="s">
        <v>996</v>
      </c>
      <c r="D101" s="655"/>
      <c r="E101" s="189" t="s">
        <v>240</v>
      </c>
      <c r="F101" s="806"/>
      <c r="G101" s="807"/>
      <c r="H101" s="807"/>
      <c r="I101" s="807"/>
      <c r="J101" s="807"/>
      <c r="K101" s="807"/>
      <c r="L101" s="807"/>
      <c r="M101" s="807"/>
      <c r="N101" s="144"/>
    </row>
    <row r="102" spans="1:14" hidden="1">
      <c r="C102" s="654" t="s">
        <v>326</v>
      </c>
      <c r="D102" s="655"/>
      <c r="E102" s="189" t="s">
        <v>240</v>
      </c>
      <c r="F102" s="806"/>
      <c r="G102" s="807"/>
      <c r="H102" s="807"/>
      <c r="I102" s="807"/>
      <c r="J102" s="807"/>
      <c r="K102" s="807"/>
      <c r="L102" s="807"/>
      <c r="M102" s="807"/>
      <c r="N102" s="144"/>
    </row>
    <row r="103" spans="1:14" ht="15" hidden="1" customHeight="1">
      <c r="C103" s="804" t="s">
        <v>997</v>
      </c>
      <c r="D103" s="805"/>
      <c r="E103" s="189" t="s">
        <v>240</v>
      </c>
      <c r="F103" s="806"/>
      <c r="G103" s="807"/>
      <c r="H103" s="807"/>
      <c r="I103" s="807"/>
      <c r="J103" s="807"/>
      <c r="K103" s="807"/>
      <c r="L103" s="807"/>
      <c r="M103" s="807"/>
      <c r="N103" s="144"/>
    </row>
    <row r="104" spans="1:14" ht="30" hidden="1" customHeight="1">
      <c r="C104" s="804" t="s">
        <v>327</v>
      </c>
      <c r="D104" s="805"/>
      <c r="E104" s="189" t="s">
        <v>240</v>
      </c>
      <c r="F104" s="806"/>
      <c r="G104" s="807"/>
      <c r="H104" s="807"/>
      <c r="I104" s="807"/>
      <c r="J104" s="807"/>
      <c r="K104" s="807"/>
      <c r="L104" s="807"/>
      <c r="M104" s="807"/>
      <c r="N104" s="181"/>
    </row>
    <row r="105" spans="1:14" ht="9" hidden="1" customHeight="1">
      <c r="C105" s="132"/>
      <c r="D105" s="132"/>
      <c r="E105" s="132"/>
      <c r="F105" s="132"/>
      <c r="G105" s="132"/>
      <c r="H105" s="132"/>
      <c r="I105" s="132"/>
      <c r="J105" s="132"/>
      <c r="K105" s="132"/>
      <c r="L105" s="132"/>
      <c r="M105" s="132"/>
    </row>
    <row r="106" spans="1:14" hidden="1">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8" spans="2:15" hidden="1"/>
    <row r="1019" spans="2:15" ht="17.25">
      <c r="B1019" s="32" t="s">
        <v>1029</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1678</v>
      </c>
      <c r="C1021" s="32"/>
      <c r="D1021" s="32"/>
      <c r="E1021" s="32"/>
      <c r="F1021" s="32"/>
      <c r="G1021" s="32"/>
      <c r="H1021" s="32"/>
      <c r="I1021" s="32"/>
      <c r="J1021" s="32"/>
      <c r="K1021" s="32"/>
      <c r="L1021" s="32"/>
      <c r="M1021" s="32"/>
      <c r="N1021" s="32"/>
    </row>
    <row r="1022" spans="2:15" ht="15" customHeight="1"/>
    <row r="1023" spans="2:15" ht="99.75" customHeight="1">
      <c r="B1023" s="758"/>
      <c r="C1023" s="759"/>
      <c r="D1023" s="759"/>
      <c r="E1023" s="759"/>
      <c r="F1023" s="759"/>
      <c r="G1023" s="759"/>
      <c r="H1023" s="759"/>
      <c r="I1023" s="759"/>
      <c r="J1023" s="759"/>
      <c r="K1023" s="759"/>
      <c r="L1023" s="759"/>
      <c r="M1023" s="759"/>
      <c r="N1023" s="768"/>
      <c r="O1023" s="144"/>
    </row>
    <row r="1024" spans="2:15" ht="17.25">
      <c r="B1024" s="32"/>
      <c r="C1024" s="32"/>
      <c r="D1024" s="32"/>
      <c r="E1024" s="32"/>
      <c r="F1024" s="32"/>
      <c r="G1024" s="32"/>
      <c r="H1024" s="32"/>
      <c r="I1024" s="32"/>
      <c r="J1024" s="32"/>
      <c r="K1024" s="32"/>
      <c r="L1024" s="32"/>
      <c r="M1024" s="32"/>
      <c r="N1024" s="32"/>
    </row>
    <row r="1025" spans="2:14" ht="17.25">
      <c r="B1025" s="50" t="s">
        <v>1679</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857" t="s">
        <v>1667</v>
      </c>
      <c r="E1027" s="857"/>
      <c r="F1027" s="857"/>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313">
        <v>2020</v>
      </c>
      <c r="G1030" s="313">
        <v>2021</v>
      </c>
      <c r="H1030" s="313">
        <v>2022</v>
      </c>
      <c r="I1030" s="313">
        <v>2023</v>
      </c>
      <c r="J1030" s="313">
        <v>2024</v>
      </c>
      <c r="K1030" s="795"/>
      <c r="L1030" s="796"/>
      <c r="M1030" s="796"/>
      <c r="N1030" s="797"/>
    </row>
    <row r="1031" spans="2:14" hidden="1">
      <c r="B1031" s="403">
        <v>1</v>
      </c>
      <c r="C1031" s="401"/>
      <c r="D1031" s="205"/>
      <c r="E1031" s="205"/>
      <c r="F1031" s="402"/>
      <c r="G1031" s="402"/>
      <c r="H1031" s="402"/>
      <c r="I1031" s="402"/>
      <c r="J1031" s="402"/>
      <c r="K1031" s="790"/>
      <c r="L1031" s="791"/>
      <c r="M1031" s="791"/>
      <c r="N1031" s="792"/>
    </row>
    <row r="1032" spans="2:14" hidden="1">
      <c r="B1032" s="403">
        <v>2</v>
      </c>
      <c r="C1032" s="401"/>
      <c r="D1032" s="205"/>
      <c r="E1032" s="205"/>
      <c r="F1032" s="402"/>
      <c r="G1032" s="402"/>
      <c r="H1032" s="402"/>
      <c r="I1032" s="402"/>
      <c r="J1032" s="402"/>
      <c r="K1032" s="790"/>
      <c r="L1032" s="791"/>
      <c r="M1032" s="791"/>
      <c r="N1032" s="792"/>
    </row>
    <row r="1033" spans="2:14" hidden="1">
      <c r="B1033" s="403">
        <v>3</v>
      </c>
      <c r="C1033" s="401"/>
      <c r="D1033" s="205"/>
      <c r="E1033" s="205"/>
      <c r="F1033" s="402"/>
      <c r="G1033" s="402"/>
      <c r="H1033" s="402"/>
      <c r="I1033" s="402"/>
      <c r="J1033" s="402"/>
      <c r="K1033" s="790"/>
      <c r="L1033" s="791"/>
      <c r="M1033" s="791"/>
      <c r="N1033" s="792"/>
    </row>
    <row r="1034" spans="2:14" hidden="1">
      <c r="B1034" s="403">
        <v>4</v>
      </c>
      <c r="C1034" s="401"/>
      <c r="D1034" s="205"/>
      <c r="E1034" s="205"/>
      <c r="F1034" s="402"/>
      <c r="G1034" s="402"/>
      <c r="H1034" s="402"/>
      <c r="I1034" s="402"/>
      <c r="J1034" s="402"/>
      <c r="K1034" s="790"/>
      <c r="L1034" s="791"/>
      <c r="M1034" s="791"/>
      <c r="N1034" s="792"/>
    </row>
    <row r="1035" spans="2:14" hidden="1">
      <c r="B1035" s="403">
        <v>5</v>
      </c>
      <c r="C1035" s="401"/>
      <c r="D1035" s="205"/>
      <c r="E1035" s="205"/>
      <c r="F1035" s="402"/>
      <c r="G1035" s="402"/>
      <c r="H1035" s="402"/>
      <c r="I1035" s="402"/>
      <c r="J1035" s="402"/>
      <c r="K1035" s="790"/>
      <c r="L1035" s="791"/>
      <c r="M1035" s="791"/>
      <c r="N1035" s="792"/>
    </row>
    <row r="1036" spans="2:14" hidden="1">
      <c r="B1036" s="403">
        <v>6</v>
      </c>
      <c r="C1036" s="401"/>
      <c r="D1036" s="205"/>
      <c r="E1036" s="205"/>
      <c r="F1036" s="402"/>
      <c r="G1036" s="402"/>
      <c r="H1036" s="402"/>
      <c r="I1036" s="402"/>
      <c r="J1036" s="402"/>
      <c r="K1036" s="790"/>
      <c r="L1036" s="791"/>
      <c r="M1036" s="791"/>
      <c r="N1036" s="792"/>
    </row>
    <row r="1037" spans="2:14" hidden="1">
      <c r="B1037" s="403">
        <v>7</v>
      </c>
      <c r="C1037" s="401"/>
      <c r="D1037" s="205"/>
      <c r="E1037" s="205"/>
      <c r="F1037" s="402"/>
      <c r="G1037" s="402"/>
      <c r="H1037" s="402"/>
      <c r="I1037" s="402"/>
      <c r="J1037" s="402"/>
      <c r="K1037" s="790"/>
      <c r="L1037" s="791"/>
      <c r="M1037" s="791"/>
      <c r="N1037" s="792"/>
    </row>
    <row r="1038" spans="2:14" hidden="1">
      <c r="B1038" s="403">
        <v>8</v>
      </c>
      <c r="C1038" s="401"/>
      <c r="D1038" s="205"/>
      <c r="E1038" s="205"/>
      <c r="F1038" s="402"/>
      <c r="G1038" s="402"/>
      <c r="H1038" s="402"/>
      <c r="I1038" s="402"/>
      <c r="J1038" s="402"/>
      <c r="K1038" s="790"/>
      <c r="L1038" s="791"/>
      <c r="M1038" s="791"/>
      <c r="N1038" s="792"/>
    </row>
    <row r="1039" spans="2:14" hidden="1">
      <c r="B1039" s="403">
        <v>9</v>
      </c>
      <c r="C1039" s="401"/>
      <c r="D1039" s="205"/>
      <c r="E1039" s="205"/>
      <c r="F1039" s="402"/>
      <c r="G1039" s="402"/>
      <c r="H1039" s="402"/>
      <c r="I1039" s="402"/>
      <c r="J1039" s="402"/>
      <c r="K1039" s="790"/>
      <c r="L1039" s="791"/>
      <c r="M1039" s="791"/>
      <c r="N1039" s="792"/>
    </row>
    <row r="1040" spans="2:14" hidden="1">
      <c r="B1040" s="403">
        <v>10</v>
      </c>
      <c r="C1040" s="401"/>
      <c r="D1040" s="205"/>
      <c r="E1040" s="205"/>
      <c r="F1040" s="402"/>
      <c r="G1040" s="402"/>
      <c r="H1040" s="402"/>
      <c r="I1040" s="402"/>
      <c r="J1040" s="402"/>
      <c r="K1040" s="790"/>
      <c r="L1040" s="791"/>
      <c r="M1040" s="791"/>
      <c r="N1040" s="792"/>
    </row>
    <row r="1041" spans="2:14" hidden="1">
      <c r="B1041" s="403">
        <v>11</v>
      </c>
      <c r="C1041" s="401"/>
      <c r="D1041" s="205"/>
      <c r="E1041" s="205"/>
      <c r="F1041" s="402"/>
      <c r="G1041" s="402"/>
      <c r="H1041" s="402"/>
      <c r="I1041" s="402"/>
      <c r="J1041" s="402"/>
      <c r="K1041" s="790"/>
      <c r="L1041" s="791"/>
      <c r="M1041" s="791"/>
      <c r="N1041" s="792"/>
    </row>
    <row r="1042" spans="2:14" hidden="1">
      <c r="B1042" s="403">
        <v>12</v>
      </c>
      <c r="C1042" s="401"/>
      <c r="D1042" s="205"/>
      <c r="E1042" s="205"/>
      <c r="F1042" s="402"/>
      <c r="G1042" s="402"/>
      <c r="H1042" s="402"/>
      <c r="I1042" s="402"/>
      <c r="J1042" s="402"/>
      <c r="K1042" s="790"/>
      <c r="L1042" s="791"/>
      <c r="M1042" s="791"/>
      <c r="N1042" s="792"/>
    </row>
    <row r="1043" spans="2:14" hidden="1">
      <c r="B1043" s="403">
        <v>13</v>
      </c>
      <c r="C1043" s="401"/>
      <c r="D1043" s="205"/>
      <c r="E1043" s="205"/>
      <c r="F1043" s="402"/>
      <c r="G1043" s="402"/>
      <c r="H1043" s="402"/>
      <c r="I1043" s="402"/>
      <c r="J1043" s="402"/>
      <c r="K1043" s="790"/>
      <c r="L1043" s="791"/>
      <c r="M1043" s="791"/>
      <c r="N1043" s="792"/>
    </row>
    <row r="1044" spans="2:14" hidden="1">
      <c r="B1044" s="403">
        <v>14</v>
      </c>
      <c r="C1044" s="401"/>
      <c r="D1044" s="205"/>
      <c r="E1044" s="205"/>
      <c r="F1044" s="402"/>
      <c r="G1044" s="402"/>
      <c r="H1044" s="402"/>
      <c r="I1044" s="402"/>
      <c r="J1044" s="402"/>
      <c r="K1044" s="790"/>
      <c r="L1044" s="791"/>
      <c r="M1044" s="791"/>
      <c r="N1044" s="792"/>
    </row>
    <row r="1045" spans="2:14" hidden="1">
      <c r="B1045" s="403">
        <v>15</v>
      </c>
      <c r="C1045" s="401"/>
      <c r="D1045" s="205"/>
      <c r="E1045" s="205"/>
      <c r="F1045" s="402"/>
      <c r="G1045" s="402"/>
      <c r="H1045" s="402"/>
      <c r="I1045" s="402"/>
      <c r="J1045" s="402"/>
      <c r="K1045" s="790"/>
      <c r="L1045" s="791"/>
      <c r="M1045" s="791"/>
      <c r="N1045" s="792"/>
    </row>
    <row r="1046" spans="2:14" hidden="1">
      <c r="B1046" s="403">
        <v>16</v>
      </c>
      <c r="C1046" s="401"/>
      <c r="D1046" s="205"/>
      <c r="E1046" s="205"/>
      <c r="F1046" s="402"/>
      <c r="G1046" s="402"/>
      <c r="H1046" s="402"/>
      <c r="I1046" s="402"/>
      <c r="J1046" s="402"/>
      <c r="K1046" s="790"/>
      <c r="L1046" s="791"/>
      <c r="M1046" s="791"/>
      <c r="N1046" s="792"/>
    </row>
    <row r="1047" spans="2:14" hidden="1">
      <c r="B1047" s="403">
        <v>17</v>
      </c>
      <c r="C1047" s="401"/>
      <c r="D1047" s="205"/>
      <c r="E1047" s="205"/>
      <c r="F1047" s="402"/>
      <c r="G1047" s="402"/>
      <c r="H1047" s="402"/>
      <c r="I1047" s="402"/>
      <c r="J1047" s="402"/>
      <c r="K1047" s="790"/>
      <c r="L1047" s="791"/>
      <c r="M1047" s="791"/>
      <c r="N1047" s="792"/>
    </row>
    <row r="1048" spans="2:14" hidden="1">
      <c r="B1048" s="403">
        <v>18</v>
      </c>
      <c r="C1048" s="401"/>
      <c r="D1048" s="205"/>
      <c r="E1048" s="205"/>
      <c r="F1048" s="402"/>
      <c r="G1048" s="402"/>
      <c r="H1048" s="402"/>
      <c r="I1048" s="402"/>
      <c r="J1048" s="402"/>
      <c r="K1048" s="790"/>
      <c r="L1048" s="791"/>
      <c r="M1048" s="791"/>
      <c r="N1048" s="792"/>
    </row>
    <row r="1049" spans="2:14" hidden="1">
      <c r="B1049" s="403">
        <v>19</v>
      </c>
      <c r="C1049" s="401"/>
      <c r="D1049" s="205"/>
      <c r="E1049" s="205"/>
      <c r="F1049" s="402"/>
      <c r="G1049" s="402"/>
      <c r="H1049" s="402"/>
      <c r="I1049" s="402"/>
      <c r="J1049" s="402"/>
      <c r="K1049" s="790"/>
      <c r="L1049" s="791"/>
      <c r="M1049" s="791"/>
      <c r="N1049" s="792"/>
    </row>
    <row r="1050" spans="2:14" hidden="1">
      <c r="B1050" s="403">
        <v>20</v>
      </c>
      <c r="C1050" s="401"/>
      <c r="D1050" s="404"/>
      <c r="E1050" s="402"/>
      <c r="F1050" s="402"/>
      <c r="G1050" s="402"/>
      <c r="H1050" s="402"/>
      <c r="I1050" s="402"/>
      <c r="J1050" s="402"/>
      <c r="K1050" s="790"/>
      <c r="L1050" s="791"/>
      <c r="M1050" s="791"/>
      <c r="N1050" s="792"/>
    </row>
    <row r="1051" spans="2:14" ht="15" customHeight="1">
      <c r="B1051" s="132"/>
      <c r="C1051" s="132"/>
      <c r="D1051" s="132"/>
      <c r="E1051" s="132"/>
      <c r="F1051" s="132"/>
      <c r="G1051" s="132"/>
      <c r="H1051" s="132"/>
      <c r="I1051" s="132"/>
      <c r="J1051" s="132"/>
      <c r="K1051" s="132"/>
      <c r="L1051" s="132"/>
      <c r="M1051" s="132"/>
      <c r="N1051" s="132"/>
    </row>
    <row r="1052" spans="2:14" ht="15" customHeight="1">
      <c r="F1052" s="455"/>
      <c r="G1052" s="455"/>
      <c r="H1052" s="455"/>
      <c r="I1052" s="455"/>
      <c r="J1052" s="455"/>
      <c r="K1052" s="455"/>
      <c r="L1052" s="455"/>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1039" priority="54">
      <formula>$A$2="PRINT"</formula>
    </cfRule>
  </conditionalFormatting>
  <conditionalFormatting sqref="E71">
    <cfRule type="expression" dxfId="1038" priority="53">
      <formula>$A$2="PRINT"</formula>
    </cfRule>
  </conditionalFormatting>
  <conditionalFormatting sqref="E90">
    <cfRule type="expression" dxfId="1037" priority="52">
      <formula>$A$2="PRINT"</formula>
    </cfRule>
  </conditionalFormatting>
  <conditionalFormatting sqref="E109">
    <cfRule type="expression" dxfId="1036" priority="51">
      <formula>$A$2="PRINT"</formula>
    </cfRule>
  </conditionalFormatting>
  <conditionalFormatting sqref="E128">
    <cfRule type="expression" dxfId="1035" priority="50">
      <formula>$A$2="PRINT"</formula>
    </cfRule>
  </conditionalFormatting>
  <conditionalFormatting sqref="E147">
    <cfRule type="expression" dxfId="1034" priority="49">
      <formula>$A$2="PRINT"</formula>
    </cfRule>
  </conditionalFormatting>
  <conditionalFormatting sqref="E166">
    <cfRule type="expression" dxfId="1033" priority="48">
      <formula>$A$2="PRINT"</formula>
    </cfRule>
  </conditionalFormatting>
  <conditionalFormatting sqref="E185">
    <cfRule type="expression" dxfId="1032" priority="47">
      <formula>$A$2="PRINT"</formula>
    </cfRule>
  </conditionalFormatting>
  <conditionalFormatting sqref="E204">
    <cfRule type="expression" dxfId="1031" priority="46">
      <formula>$A$2="PRINT"</formula>
    </cfRule>
  </conditionalFormatting>
  <conditionalFormatting sqref="E223">
    <cfRule type="expression" dxfId="1030" priority="45">
      <formula>$A$2="PRINT"</formula>
    </cfRule>
  </conditionalFormatting>
  <conditionalFormatting sqref="E242">
    <cfRule type="expression" dxfId="1029" priority="44">
      <formula>$A$2="PRINT"</formula>
    </cfRule>
  </conditionalFormatting>
  <conditionalFormatting sqref="E261">
    <cfRule type="expression" dxfId="1028" priority="43">
      <formula>$A$2="PRINT"</formula>
    </cfRule>
  </conditionalFormatting>
  <conditionalFormatting sqref="E280">
    <cfRule type="expression" dxfId="1027" priority="42">
      <formula>$A$2="PRINT"</formula>
    </cfRule>
  </conditionalFormatting>
  <conditionalFormatting sqref="E299">
    <cfRule type="expression" dxfId="1026" priority="41">
      <formula>$A$2="PRINT"</formula>
    </cfRule>
  </conditionalFormatting>
  <conditionalFormatting sqref="E318">
    <cfRule type="expression" dxfId="1025" priority="40">
      <formula>$A$2="PRINT"</formula>
    </cfRule>
  </conditionalFormatting>
  <conditionalFormatting sqref="E337">
    <cfRule type="expression" dxfId="1024" priority="39">
      <formula>$A$2="PRINT"</formula>
    </cfRule>
  </conditionalFormatting>
  <conditionalFormatting sqref="E356">
    <cfRule type="expression" dxfId="1023" priority="38">
      <formula>$A$2="PRINT"</formula>
    </cfRule>
  </conditionalFormatting>
  <conditionalFormatting sqref="E375">
    <cfRule type="expression" dxfId="1022" priority="37">
      <formula>$A$2="PRINT"</formula>
    </cfRule>
  </conditionalFormatting>
  <conditionalFormatting sqref="E394">
    <cfRule type="expression" dxfId="1021" priority="36">
      <formula>$A$2="PRINT"</formula>
    </cfRule>
  </conditionalFormatting>
  <conditionalFormatting sqref="E413">
    <cfRule type="expression" dxfId="1020" priority="35">
      <formula>$A$2="PRINT"</formula>
    </cfRule>
  </conditionalFormatting>
  <conditionalFormatting sqref="E432">
    <cfRule type="expression" dxfId="1019" priority="34">
      <formula>$A$2="PRINT"</formula>
    </cfRule>
  </conditionalFormatting>
  <conditionalFormatting sqref="E451">
    <cfRule type="expression" dxfId="1018" priority="33">
      <formula>$A$2="PRINT"</formula>
    </cfRule>
  </conditionalFormatting>
  <conditionalFormatting sqref="E470">
    <cfRule type="expression" dxfId="1017" priority="32">
      <formula>$A$2="PRINT"</formula>
    </cfRule>
  </conditionalFormatting>
  <conditionalFormatting sqref="E489">
    <cfRule type="expression" dxfId="1016" priority="31">
      <formula>$A$2="PRINT"</formula>
    </cfRule>
  </conditionalFormatting>
  <conditionalFormatting sqref="E508">
    <cfRule type="expression" dxfId="1015" priority="30">
      <formula>$A$2="PRINT"</formula>
    </cfRule>
  </conditionalFormatting>
  <conditionalFormatting sqref="E527">
    <cfRule type="expression" dxfId="1014" priority="29">
      <formula>$A$2="PRINT"</formula>
    </cfRule>
  </conditionalFormatting>
  <conditionalFormatting sqref="E546">
    <cfRule type="expression" dxfId="1013" priority="28">
      <formula>$A$2="PRINT"</formula>
    </cfRule>
  </conditionalFormatting>
  <conditionalFormatting sqref="E565">
    <cfRule type="expression" dxfId="1012" priority="27">
      <formula>$A$2="PRINT"</formula>
    </cfRule>
  </conditionalFormatting>
  <conditionalFormatting sqref="E584">
    <cfRule type="expression" dxfId="1011" priority="26">
      <formula>$A$2="PRINT"</formula>
    </cfRule>
  </conditionalFormatting>
  <conditionalFormatting sqref="E603">
    <cfRule type="expression" dxfId="1010" priority="25">
      <formula>$A$2="PRINT"</formula>
    </cfRule>
  </conditionalFormatting>
  <conditionalFormatting sqref="E622">
    <cfRule type="expression" dxfId="1009" priority="24">
      <formula>$A$2="PRINT"</formula>
    </cfRule>
  </conditionalFormatting>
  <conditionalFormatting sqref="E641">
    <cfRule type="expression" dxfId="1008" priority="23">
      <formula>$A$2="PRINT"</formula>
    </cfRule>
  </conditionalFormatting>
  <conditionalFormatting sqref="E660">
    <cfRule type="expression" dxfId="1007" priority="22">
      <formula>$A$2="PRINT"</formula>
    </cfRule>
  </conditionalFormatting>
  <conditionalFormatting sqref="E679">
    <cfRule type="expression" dxfId="1006" priority="21">
      <formula>$A$2="PRINT"</formula>
    </cfRule>
  </conditionalFormatting>
  <conditionalFormatting sqref="E698">
    <cfRule type="expression" dxfId="1005" priority="20">
      <formula>$A$2="PRINT"</formula>
    </cfRule>
  </conditionalFormatting>
  <conditionalFormatting sqref="E717">
    <cfRule type="expression" dxfId="1004" priority="19">
      <formula>$A$2="PRINT"</formula>
    </cfRule>
  </conditionalFormatting>
  <conditionalFormatting sqref="E736">
    <cfRule type="expression" dxfId="1003" priority="18">
      <formula>$A$2="PRINT"</formula>
    </cfRule>
  </conditionalFormatting>
  <conditionalFormatting sqref="E755">
    <cfRule type="expression" dxfId="1002" priority="17">
      <formula>$A$2="PRINT"</formula>
    </cfRule>
  </conditionalFormatting>
  <conditionalFormatting sqref="E774">
    <cfRule type="expression" dxfId="1001" priority="16">
      <formula>$A$2="PRINT"</formula>
    </cfRule>
  </conditionalFormatting>
  <conditionalFormatting sqref="E793">
    <cfRule type="expression" dxfId="1000" priority="15">
      <formula>$A$2="PRINT"</formula>
    </cfRule>
  </conditionalFormatting>
  <conditionalFormatting sqref="E812">
    <cfRule type="expression" dxfId="999" priority="14">
      <formula>$A$2="PRINT"</formula>
    </cfRule>
  </conditionalFormatting>
  <conditionalFormatting sqref="E831">
    <cfRule type="expression" dxfId="998" priority="13">
      <formula>$A$2="PRINT"</formula>
    </cfRule>
  </conditionalFormatting>
  <conditionalFormatting sqref="E850">
    <cfRule type="expression" dxfId="997" priority="12">
      <formula>$A$2="PRINT"</formula>
    </cfRule>
  </conditionalFormatting>
  <conditionalFormatting sqref="E869">
    <cfRule type="expression" dxfId="996" priority="11">
      <formula>$A$2="PRINT"</formula>
    </cfRule>
  </conditionalFormatting>
  <conditionalFormatting sqref="E888">
    <cfRule type="expression" dxfId="995" priority="10">
      <formula>$A$2="PRINT"</formula>
    </cfRule>
  </conditionalFormatting>
  <conditionalFormatting sqref="E907">
    <cfRule type="expression" dxfId="994" priority="9">
      <formula>$A$2="PRINT"</formula>
    </cfRule>
  </conditionalFormatting>
  <conditionalFormatting sqref="E926">
    <cfRule type="expression" dxfId="993" priority="8">
      <formula>$A$2="PRINT"</formula>
    </cfRule>
  </conditionalFormatting>
  <conditionalFormatting sqref="E945">
    <cfRule type="expression" dxfId="992" priority="7">
      <formula>$A$2="PRINT"</formula>
    </cfRule>
  </conditionalFormatting>
  <conditionalFormatting sqref="E964">
    <cfRule type="expression" dxfId="991" priority="6">
      <formula>$A$2="PRINT"</formula>
    </cfRule>
  </conditionalFormatting>
  <conditionalFormatting sqref="E983">
    <cfRule type="expression" dxfId="990" priority="5">
      <formula>$A$2="PRINT"</formula>
    </cfRule>
  </conditionalFormatting>
  <conditionalFormatting sqref="E1002">
    <cfRule type="expression" dxfId="989" priority="4">
      <formula>$A$2="PRINT"</formula>
    </cfRule>
  </conditionalFormatting>
  <conditionalFormatting sqref="B1031 B1033 B1035 B1037 B1039 B1041 B1043 B1045 B1047 B1049:B1050">
    <cfRule type="expression" dxfId="988" priority="3">
      <formula>$A$2="PRINT"</formula>
    </cfRule>
  </conditionalFormatting>
  <conditionalFormatting sqref="B1032 B1034 B1036 B1038 B1040 B1042 B1044 B1046 B1048">
    <cfRule type="expression" dxfId="987" priority="2">
      <formula>$A$2="PRINT"</formula>
    </cfRule>
  </conditionalFormatting>
  <conditionalFormatting sqref="D1027:F1027">
    <cfRule type="expression" dxfId="986"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3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3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300-000002000000}">
      <formula1>"Click to select,PCP,Master Plan (non-PCP)"</formula1>
    </dataValidation>
    <dataValidation type="list" allowBlank="1" showErrorMessage="1" sqref="D6:F6" xr:uid="{00000000-0002-0000-1300-000003000000}">
      <formula1>"Click to select number of new major investments,0,1,2,3,4,5,6,7,8,9,10,11,12,13,14,15,16,17,18,19,20,21,22,23,24,25,26,27,28,29,30,31,32,33,34,35,36,37,38,39,40,41,42,43,44,45,46,47,48,49,50"</formula1>
    </dataValidation>
    <dataValidation type="list" allowBlank="1" showErrorMessage="1" sqref="D1027:F1027" xr:uid="{00000000-0002-0000-1300-000004000000}">
      <formula1>"Click to select number of new other investments,0,1,2,3,4,5,6,7,8,9,10,11,12,13,14,15,16,17,18,19,20"</formula1>
    </dataValidation>
  </dataValidations>
  <hyperlinks>
    <hyperlink ref="B10" location="'2.1 Investments_ANSP#1'!B83" tooltip="Go to Project #" display="1" xr:uid="{00000000-0004-0000-1300-000000000000}"/>
    <hyperlink ref="B11" location="'2.1 Investments_ANSP#1'!B102" tooltip="Go to Project #" display="2" xr:uid="{00000000-0004-0000-1300-000001000000}"/>
    <hyperlink ref="B12" location="'2.1 Investments_ANSP#1'!B121" tooltip="Go to Project #" display="3" xr:uid="{00000000-0004-0000-1300-000002000000}"/>
    <hyperlink ref="B13" location="'2.1 Investments_ANSP#1'!B140" tooltip="Go to Project #" display="4" xr:uid="{00000000-0004-0000-1300-000003000000}"/>
    <hyperlink ref="B14" location="'2.1 Investments_ANSP#1'!B159" tooltip="Go to Project #" display="5" xr:uid="{00000000-0004-0000-1300-000004000000}"/>
    <hyperlink ref="B15" location="'2.1 Investments_ANSP#1'!B178" tooltip="Go to Project #" display="6" xr:uid="{00000000-0004-0000-1300-000005000000}"/>
    <hyperlink ref="B16" location="'2.1 Investments_ANSP#1'!B197" tooltip="Go to Project #" display="7" xr:uid="{00000000-0004-0000-1300-000006000000}"/>
    <hyperlink ref="B17" location="'2.1 Investments_ANSP#1'!B216" tooltip="Go to Project #" display="8" xr:uid="{00000000-0004-0000-1300-000007000000}"/>
    <hyperlink ref="B18" location="'2.1 Investments_ANSP#1'!B235" tooltip="Go to Project #" display="9" xr:uid="{00000000-0004-0000-1300-000008000000}"/>
    <hyperlink ref="B19" location="'2.1 Investments_ANSP#1'!B254" tooltip="Go to Project #" display="10" xr:uid="{00000000-0004-0000-1300-000009000000}"/>
    <hyperlink ref="B20" location="'2.1 Investments_ANSP#1'!B273" tooltip="Go to Project #" display="11" xr:uid="{00000000-0004-0000-1300-00000A000000}"/>
    <hyperlink ref="B21" location="'2.1 Investments_ANSP#1'!B292" tooltip="Go to Project #" display="12" xr:uid="{00000000-0004-0000-1300-00000B000000}"/>
    <hyperlink ref="B22" location="'2.1 Investments_ANSP#1'!B311" tooltip="Go to Project #" display="13" xr:uid="{00000000-0004-0000-1300-00000C000000}"/>
    <hyperlink ref="B23" location="'2.1 Investments_ANSP#1'!B330" tooltip="Go to Project #" display="14" xr:uid="{00000000-0004-0000-1300-00000D000000}"/>
    <hyperlink ref="B24" location="'2.1 Investments_ANSP#1'!B349" tooltip="Go to Project #" display="15" xr:uid="{00000000-0004-0000-1300-00000E000000}"/>
    <hyperlink ref="B25" location="'2.1 Investments_ANSP#1'!B368" tooltip="Go to Project #" display="16" xr:uid="{00000000-0004-0000-1300-00000F000000}"/>
    <hyperlink ref="B26" location="'2.1 Investments_ANSP#1'!B387" tooltip="Go to Project #" display="17" xr:uid="{00000000-0004-0000-1300-000010000000}"/>
    <hyperlink ref="B27" location="'2.1 Investments_ANSP#1'!B406" tooltip="Go to Project #" display="18" xr:uid="{00000000-0004-0000-1300-000011000000}"/>
    <hyperlink ref="B28" location="'2.1 Investments_ANSP#1'!B425" tooltip="Go to Project #" display="19" xr:uid="{00000000-0004-0000-1300-000012000000}"/>
    <hyperlink ref="B29" location="'2.1 Investments_ANSP#1'!B444" tooltip="Go to Project #" display="20" xr:uid="{00000000-0004-0000-1300-000013000000}"/>
    <hyperlink ref="B30" location="'2.1 Investments_ANSP#1'!B463" tooltip="Go to Project #" display="21" xr:uid="{00000000-0004-0000-1300-000014000000}"/>
    <hyperlink ref="B31" location="'2.1 Investments_ANSP#1'!B482" tooltip="Go to Project #" display="22" xr:uid="{00000000-0004-0000-1300-000015000000}"/>
    <hyperlink ref="B32" location="'2.1 Investments_ANSP#1'!B501" tooltip="Go to Project #" display="23" xr:uid="{00000000-0004-0000-1300-000016000000}"/>
    <hyperlink ref="B33" location="'2.1 Investments_ANSP#1'!B520" tooltip="Go to Project #" display="24" xr:uid="{00000000-0004-0000-1300-000017000000}"/>
    <hyperlink ref="B34" location="'2.1 Investments_ANSP#1'!B539" tooltip="Go to Project #" display="25" xr:uid="{00000000-0004-0000-1300-000018000000}"/>
    <hyperlink ref="B35" location="'2.1 Investments_ANSP#1'!B558" tooltip="Go to Project #" display="26" xr:uid="{00000000-0004-0000-1300-000019000000}"/>
    <hyperlink ref="B36" location="'2.1 Investments_ANSP#1'!B577" tooltip="Go to Project #" display="27" xr:uid="{00000000-0004-0000-1300-00001A000000}"/>
    <hyperlink ref="B37" location="'2.1 Investments_ANSP#1'!B596" tooltip="Go to Project #" display="28" xr:uid="{00000000-0004-0000-1300-00001B000000}"/>
    <hyperlink ref="B38" location="'2.1 Investments_ANSP#1'!B615" tooltip="Go to Project #" display="29" xr:uid="{00000000-0004-0000-1300-00001C000000}"/>
    <hyperlink ref="B39" location="'2.1 Investments_ANSP#1'!B634" tooltip="Go to Project #" display="30" xr:uid="{00000000-0004-0000-1300-00001D000000}"/>
    <hyperlink ref="B40" location="'2.1 Investments_ANSP#1'!B653" tooltip="Go to Project #" display="31" xr:uid="{00000000-0004-0000-1300-00001E000000}"/>
    <hyperlink ref="B41" location="'2.1 Investments_ANSP#1'!B672" tooltip="Go to Project #" display="32" xr:uid="{00000000-0004-0000-1300-00001F000000}"/>
    <hyperlink ref="B42" location="'2.1 Investments_ANSP#1'!B691" tooltip="Go to Project #" display="33" xr:uid="{00000000-0004-0000-1300-000020000000}"/>
    <hyperlink ref="B43" location="'2.1 Investments_ANSP#1'!B710" tooltip="Go to Project #" display="34" xr:uid="{00000000-0004-0000-1300-000021000000}"/>
    <hyperlink ref="B44" location="'2.1 Investments_ANSP#1'!B729" tooltip="Go to Project #" display="35" xr:uid="{00000000-0004-0000-1300-000022000000}"/>
    <hyperlink ref="B45" location="'2.1 Investments_ANSP#1'!B748" tooltip="Go to Project #" display="36" xr:uid="{00000000-0004-0000-1300-000023000000}"/>
    <hyperlink ref="B46" location="'2.1 Investments_ANSP#1'!B767" tooltip="Go to Project #" display="37" xr:uid="{00000000-0004-0000-1300-000024000000}"/>
    <hyperlink ref="B47" location="'2.1 Investments_ANSP#1'!B786" tooltip="Go to Project #" display="38" xr:uid="{00000000-0004-0000-1300-000025000000}"/>
    <hyperlink ref="B48" location="'2.1 Investments_ANSP#1'!B805" tooltip="Go to Project #" display="39" xr:uid="{00000000-0004-0000-1300-000026000000}"/>
    <hyperlink ref="B49" location="'2.1 Investments_ANSP#1'!B824" tooltip="Go to Project #" display="40" xr:uid="{00000000-0004-0000-1300-000027000000}"/>
    <hyperlink ref="B50" location="'2.1 Investments_ANSP#1'!B843" tooltip="Go to Project #" display="41" xr:uid="{00000000-0004-0000-1300-000028000000}"/>
    <hyperlink ref="B51" location="'2.1 Investments_ANSP#1'!B862" tooltip="Go to Project #" display="42" xr:uid="{00000000-0004-0000-1300-000029000000}"/>
    <hyperlink ref="B52" location="'2.1 Investments_ANSP#1'!B881" tooltip="Go to Project #" display="43" xr:uid="{00000000-0004-0000-1300-00002A000000}"/>
    <hyperlink ref="B53" location="'2.1 Investments_ANSP#1'!B900" tooltip="Go to Project #" display="44" xr:uid="{00000000-0004-0000-1300-00002B000000}"/>
    <hyperlink ref="B54" location="'2.1 Investments_ANSP#1'!B919" tooltip="Go to Project #" display="45" xr:uid="{00000000-0004-0000-1300-00002C000000}"/>
    <hyperlink ref="B55" location="'2.1 Investments_ANSP#1'!B938" tooltip="Go to Project #" display="46" xr:uid="{00000000-0004-0000-1300-00002D000000}"/>
    <hyperlink ref="B56" location="'2.1 Investments_ANSP#1'!B957" tooltip="Go to Project #" display="47" xr:uid="{00000000-0004-0000-1300-00002E000000}"/>
    <hyperlink ref="B57" location="'2.1 Investments_ANSP#1'!B976" tooltip="Go to Project #" display="48" xr:uid="{00000000-0004-0000-1300-00002F000000}"/>
    <hyperlink ref="B58" location="'2.1 Investments_ANSP#1'!B995" tooltip="Go to Project #" display="49" xr:uid="{00000000-0004-0000-1300-000030000000}"/>
    <hyperlink ref="B59" location="'2.1 Investments_ANSP#1'!B1014" tooltip="Go to Project #" display="50" xr:uid="{00000000-0004-0000-1300-000031000000}"/>
    <hyperlink ref="A69" location="'2.1 Investments_ANSP#1'!B4" tooltip="Go to top" display="'2.1 Investments_ANSP#1'!B4" xr:uid="{00000000-0004-0000-1300-000032000000}"/>
    <hyperlink ref="A943" location="'2.1 Investments_ANSP#1'!B4" tooltip="Go to top" display="'2.1 Investments_ANSP#1'!B4" xr:uid="{00000000-0004-0000-1300-000033000000}"/>
    <hyperlink ref="A962" location="'2.1 Investments_ANSP#1'!B4" tooltip="Go to top" display="'2.1 Investments_ANSP#1'!B4" xr:uid="{00000000-0004-0000-1300-000034000000}"/>
    <hyperlink ref="A981" location="'2.1 Investments_ANSP#1'!B4" tooltip="Go to top" display="'2.1 Investments_ANSP#1'!B4" xr:uid="{00000000-0004-0000-1300-000035000000}"/>
    <hyperlink ref="A1000" location="'2.1 Investments_ANSP#1'!B4" tooltip="Go to top" display="'2.1 Investments_ANSP#1'!B4" xr:uid="{00000000-0004-0000-1300-000036000000}"/>
    <hyperlink ref="A88" location="'2.1 Investments_ANSP#1'!B4" tooltip="Go to top" display="'2.1 Investments_ANSP#1'!B4" xr:uid="{00000000-0004-0000-1300-000037000000}"/>
    <hyperlink ref="A107" location="'2.1 Investments_ANSP#1'!B4" tooltip="Go to top" display="'2.1 Investments_ANSP#1'!B4" xr:uid="{00000000-0004-0000-1300-000038000000}"/>
    <hyperlink ref="A126" location="'2.1 Investments_ANSP#1'!B4" tooltip="Go to top" display="'2.1 Investments_ANSP#1'!B4" xr:uid="{00000000-0004-0000-1300-000039000000}"/>
    <hyperlink ref="A145" location="'2.1 Investments_ANSP#1'!B4" tooltip="Go to top" display="'2.1 Investments_ANSP#1'!B4" xr:uid="{00000000-0004-0000-1300-00003A000000}"/>
    <hyperlink ref="A164" location="'2.1 Investments_ANSP#1'!B4" tooltip="Go to top" display="'2.1 Investments_ANSP#1'!B4" xr:uid="{00000000-0004-0000-1300-00003B000000}"/>
    <hyperlink ref="A183" location="'2.1 Investments_ANSP#1'!B4" tooltip="Go to top" display="'2.1 Investments_ANSP#1'!B4" xr:uid="{00000000-0004-0000-1300-00003C000000}"/>
    <hyperlink ref="A202" location="'2.1 Investments_ANSP#1'!B4" tooltip="Go to top" display="'2.1 Investments_ANSP#1'!B4" xr:uid="{00000000-0004-0000-1300-00003D000000}"/>
    <hyperlink ref="A221" location="'2.1 Investments_ANSP#1'!B4" tooltip="Go to top" display="'2.1 Investments_ANSP#1'!B4" xr:uid="{00000000-0004-0000-1300-00003E000000}"/>
    <hyperlink ref="A240" location="'2.1 Investments_ANSP#1'!B4" tooltip="Go to top" display="'2.1 Investments_ANSP#1'!B4" xr:uid="{00000000-0004-0000-1300-00003F000000}"/>
    <hyperlink ref="A259" location="'2.1 Investments_ANSP#1'!B4" tooltip="Go to top" display="'2.1 Investments_ANSP#1'!B4" xr:uid="{00000000-0004-0000-1300-000040000000}"/>
    <hyperlink ref="A278" location="'2.1 Investments_ANSP#1'!B4" tooltip="Go to top" display="'2.1 Investments_ANSP#1'!B4" xr:uid="{00000000-0004-0000-1300-000041000000}"/>
    <hyperlink ref="A297" location="'2.1 Investments_ANSP#1'!B4" tooltip="Go to top" display="'2.1 Investments_ANSP#1'!B4" xr:uid="{00000000-0004-0000-1300-000042000000}"/>
    <hyperlink ref="A316" location="'2.1 Investments_ANSP#1'!B4" tooltip="Go to top" display="'2.1 Investments_ANSP#1'!B4" xr:uid="{00000000-0004-0000-1300-000043000000}"/>
    <hyperlink ref="A335" location="'2.1 Investments_ANSP#1'!B4" tooltip="Go to top" display="'2.1 Investments_ANSP#1'!B4" xr:uid="{00000000-0004-0000-1300-000044000000}"/>
    <hyperlink ref="A354" location="'2.1 Investments_ANSP#1'!B4" tooltip="Go to top" display="'2.1 Investments_ANSP#1'!B4" xr:uid="{00000000-0004-0000-1300-000045000000}"/>
    <hyperlink ref="A373" location="'2.1 Investments_ANSP#1'!B4" tooltip="Go to top" display="'2.1 Investments_ANSP#1'!B4" xr:uid="{00000000-0004-0000-1300-000046000000}"/>
    <hyperlink ref="A392" location="'2.1 Investments_ANSP#1'!B4" tooltip="Go to top" display="'2.1 Investments_ANSP#1'!B4" xr:uid="{00000000-0004-0000-1300-000047000000}"/>
    <hyperlink ref="A411" location="'2.1 Investments_ANSP#1'!B4" tooltip="Go to top" display="'2.1 Investments_ANSP#1'!B4" xr:uid="{00000000-0004-0000-1300-000048000000}"/>
    <hyperlink ref="A430" location="'2.1 Investments_ANSP#1'!B4" tooltip="Go to top" display="'2.1 Investments_ANSP#1'!B4" xr:uid="{00000000-0004-0000-1300-000049000000}"/>
    <hyperlink ref="A449" location="'2.1 Investments_ANSP#1'!B4" tooltip="Go to top" display="'2.1 Investments_ANSP#1'!B4" xr:uid="{00000000-0004-0000-1300-00004A000000}"/>
    <hyperlink ref="A468" location="'2.1 Investments_ANSP#1'!B4" tooltip="Go to top" display="'2.1 Investments_ANSP#1'!B4" xr:uid="{00000000-0004-0000-1300-00004B000000}"/>
    <hyperlink ref="A487" location="'2.1 Investments_ANSP#1'!B4" tooltip="Go to top" display="'2.1 Investments_ANSP#1'!B4" xr:uid="{00000000-0004-0000-1300-00004C000000}"/>
    <hyperlink ref="A506" location="'2.1 Investments_ANSP#1'!B4" tooltip="Go to top" display="'2.1 Investments_ANSP#1'!B4" xr:uid="{00000000-0004-0000-1300-00004D000000}"/>
    <hyperlink ref="A525" location="'2.1 Investments_ANSP#1'!B4" tooltip="Go to top" display="'2.1 Investments_ANSP#1'!B4" xr:uid="{00000000-0004-0000-1300-00004E000000}"/>
    <hyperlink ref="A544" location="'2.1 Investments_ANSP#1'!B4" tooltip="Go to top" display="'2.1 Investments_ANSP#1'!B4" xr:uid="{00000000-0004-0000-1300-00004F000000}"/>
    <hyperlink ref="A563" location="'2.1 Investments_ANSP#1'!B4" tooltip="Go to top" display="'2.1 Investments_ANSP#1'!B4" xr:uid="{00000000-0004-0000-1300-000050000000}"/>
    <hyperlink ref="A582" location="'2.1 Investments_ANSP#1'!B4" tooltip="Go to top" display="'2.1 Investments_ANSP#1'!B4" xr:uid="{00000000-0004-0000-1300-000051000000}"/>
    <hyperlink ref="A601" location="'2.1 Investments_ANSP#1'!B4" tooltip="Go to top" display="'2.1 Investments_ANSP#1'!B4" xr:uid="{00000000-0004-0000-1300-000052000000}"/>
    <hyperlink ref="A620" location="'2.1 Investments_ANSP#1'!B4" tooltip="Go to top" display="'2.1 Investments_ANSP#1'!B4" xr:uid="{00000000-0004-0000-1300-000053000000}"/>
    <hyperlink ref="A639" location="'2.1 Investments_ANSP#1'!B4" tooltip="Go to top" display="'2.1 Investments_ANSP#1'!B4" xr:uid="{00000000-0004-0000-1300-000054000000}"/>
    <hyperlink ref="A658" location="'2.1 Investments_ANSP#1'!B4" tooltip="Go to top" display="'2.1 Investments_ANSP#1'!B4" xr:uid="{00000000-0004-0000-1300-000055000000}"/>
    <hyperlink ref="A677" location="'2.1 Investments_ANSP#1'!B4" tooltip="Go to top" display="'2.1 Investments_ANSP#1'!B4" xr:uid="{00000000-0004-0000-1300-000056000000}"/>
    <hyperlink ref="A696" location="'2.1 Investments_ANSP#1'!B4" tooltip="Go to top" display="'2.1 Investments_ANSP#1'!B4" xr:uid="{00000000-0004-0000-1300-000057000000}"/>
    <hyperlink ref="A715" location="'2.1 Investments_ANSP#1'!B4" tooltip="Go to top" display="'2.1 Investments_ANSP#1'!B4" xr:uid="{00000000-0004-0000-1300-000058000000}"/>
    <hyperlink ref="A734" location="'2.1 Investments_ANSP#1'!B4" tooltip="Go to top" display="'2.1 Investments_ANSP#1'!B4" xr:uid="{00000000-0004-0000-1300-000059000000}"/>
    <hyperlink ref="A753" location="'2.1 Investments_ANSP#1'!B4" tooltip="Go to top" display="'2.1 Investments_ANSP#1'!B4" xr:uid="{00000000-0004-0000-1300-00005A000000}"/>
    <hyperlink ref="A772" location="'2.1 Investments_ANSP#1'!B4" tooltip="Go to top" display="'2.1 Investments_ANSP#1'!B4" xr:uid="{00000000-0004-0000-1300-00005B000000}"/>
    <hyperlink ref="A791" location="'2.1 Investments_ANSP#1'!B4" tooltip="Go to top" display="'2.1 Investments_ANSP#1'!B4" xr:uid="{00000000-0004-0000-1300-00005C000000}"/>
    <hyperlink ref="A810" location="'2.1 Investments_ANSP#1'!B4" tooltip="Go to top" display="'2.1 Investments_ANSP#1'!B4" xr:uid="{00000000-0004-0000-1300-00005D000000}"/>
    <hyperlink ref="A829" location="'2.1 Investments_ANSP#1'!B4" tooltip="Go to top" display="'2.1 Investments_ANSP#1'!B4" xr:uid="{00000000-0004-0000-1300-00005E000000}"/>
    <hyperlink ref="A848" location="'2.1 Investments_ANSP#1'!B4" tooltip="Go to top" display="'2.1 Investments_ANSP#1'!B4" xr:uid="{00000000-0004-0000-1300-00005F000000}"/>
    <hyperlink ref="A867" location="'2.1 Investments_ANSP#1'!B4" tooltip="Go to top" display="'2.1 Investments_ANSP#1'!B4" xr:uid="{00000000-0004-0000-1300-000060000000}"/>
    <hyperlink ref="A886" location="'2.1 Investments_ANSP#1'!B4" tooltip="Go to top" display="'2.1 Investments_ANSP#1'!B4" xr:uid="{00000000-0004-0000-1300-000061000000}"/>
    <hyperlink ref="A905" location="'2.1 Investments_ANSP#1'!B4" tooltip="Go to top" display="'2.1 Investments_ANSP#1'!B4" xr:uid="{00000000-0004-0000-1300-000062000000}"/>
    <hyperlink ref="A924" location="'2.1 Investments_ANSP#1'!B4" tooltip="Go to top" display="'2.1 Investments_ANSP#1'!B4" xr:uid="{00000000-0004-0000-13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88">
    <tabColor theme="2" tint="-0.249977111117893"/>
    <pageSetUpPr fitToPage="1"/>
  </sheetPr>
  <dimension ref="A1:Q1052"/>
  <sheetViews>
    <sheetView showGridLines="0" zoomScaleNormal="100" workbookViewId="0">
      <selection activeCell="B2" sqref="B2"/>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"2.8 - Investments - "&amp;'1.1 The situation'!$B$20</f>
        <v xml:space="preserve">2.8 - Investments - </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1032</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t="s">
        <v>1378</v>
      </c>
      <c r="E6" s="850"/>
      <c r="F6" s="850"/>
      <c r="G6" s="144"/>
    </row>
    <row r="7" spans="1:17" ht="15" customHeight="1">
      <c r="B7" s="132"/>
      <c r="C7" s="132"/>
      <c r="D7" s="132"/>
      <c r="E7" s="132"/>
      <c r="F7" s="132"/>
    </row>
    <row r="8" spans="1:17" ht="30" customHeight="1">
      <c r="B8" s="673" t="s">
        <v>361</v>
      </c>
      <c r="C8" s="673" t="s">
        <v>324</v>
      </c>
      <c r="D8" s="673" t="s">
        <v>316</v>
      </c>
      <c r="E8" s="673" t="s">
        <v>993</v>
      </c>
      <c r="F8" s="673" t="s">
        <v>317</v>
      </c>
      <c r="G8" s="673"/>
      <c r="H8" s="673"/>
      <c r="I8" s="673"/>
      <c r="J8" s="673"/>
      <c r="K8" s="673" t="s">
        <v>40</v>
      </c>
      <c r="L8" s="673" t="s">
        <v>362</v>
      </c>
      <c r="M8" s="674"/>
      <c r="N8" s="673" t="s">
        <v>358</v>
      </c>
      <c r="O8" s="144"/>
      <c r="Q8" s="43"/>
    </row>
    <row r="9" spans="1:17" ht="29.25" customHeight="1">
      <c r="B9" s="673" t="s">
        <v>361</v>
      </c>
      <c r="C9" s="673"/>
      <c r="D9" s="673"/>
      <c r="E9" s="833"/>
      <c r="F9" s="198">
        <v>2020</v>
      </c>
      <c r="G9" s="198">
        <v>2021</v>
      </c>
      <c r="H9" s="198">
        <v>2022</v>
      </c>
      <c r="I9" s="198">
        <v>2023</v>
      </c>
      <c r="J9" s="198">
        <v>2024</v>
      </c>
      <c r="K9" s="673"/>
      <c r="L9" s="136" t="s">
        <v>303</v>
      </c>
      <c r="M9" s="136" t="s">
        <v>264</v>
      </c>
      <c r="N9" s="673"/>
      <c r="O9" s="144"/>
    </row>
    <row r="10" spans="1:17" hidden="1">
      <c r="A10" s="216"/>
      <c r="B10" s="217">
        <v>1</v>
      </c>
      <c r="C10" s="218"/>
      <c r="D10" s="205"/>
      <c r="E10" s="205"/>
      <c r="F10" s="205"/>
      <c r="G10" s="205"/>
      <c r="H10" s="205"/>
      <c r="I10" s="205"/>
      <c r="J10" s="205"/>
      <c r="K10" s="205"/>
      <c r="L10" s="219"/>
      <c r="M10" s="219"/>
      <c r="N10" s="220"/>
      <c r="O10" s="144"/>
    </row>
    <row r="11" spans="1:17" hidden="1">
      <c r="A11" s="216"/>
      <c r="B11" s="217">
        <v>2</v>
      </c>
      <c r="C11" s="218"/>
      <c r="D11" s="205"/>
      <c r="E11" s="205"/>
      <c r="F11" s="205"/>
      <c r="G11" s="205"/>
      <c r="H11" s="205"/>
      <c r="I11" s="205"/>
      <c r="J11" s="205"/>
      <c r="K11" s="205"/>
      <c r="L11" s="219"/>
      <c r="M11" s="219"/>
      <c r="N11" s="220"/>
      <c r="O11" s="144"/>
    </row>
    <row r="12" spans="1:17" hidden="1">
      <c r="A12" s="216"/>
      <c r="B12" s="217">
        <v>3</v>
      </c>
      <c r="C12" s="218"/>
      <c r="D12" s="205"/>
      <c r="E12" s="205"/>
      <c r="F12" s="205"/>
      <c r="G12" s="205"/>
      <c r="H12" s="205"/>
      <c r="I12" s="205"/>
      <c r="J12" s="205"/>
      <c r="K12" s="205"/>
      <c r="L12" s="219"/>
      <c r="M12" s="219"/>
      <c r="N12" s="220"/>
      <c r="O12" s="144"/>
    </row>
    <row r="13" spans="1:17" hidden="1">
      <c r="A13" s="216"/>
      <c r="B13" s="217">
        <v>4</v>
      </c>
      <c r="C13" s="218"/>
      <c r="D13" s="205"/>
      <c r="E13" s="205"/>
      <c r="F13" s="205"/>
      <c r="G13" s="205"/>
      <c r="H13" s="205"/>
      <c r="I13" s="205"/>
      <c r="J13" s="205"/>
      <c r="K13" s="205"/>
      <c r="L13" s="219"/>
      <c r="M13" s="219"/>
      <c r="N13" s="220"/>
      <c r="O13" s="144"/>
    </row>
    <row r="14" spans="1:17" hidden="1">
      <c r="A14" s="216"/>
      <c r="B14" s="217">
        <v>5</v>
      </c>
      <c r="C14" s="218"/>
      <c r="D14" s="205"/>
      <c r="E14" s="205"/>
      <c r="F14" s="205"/>
      <c r="G14" s="205"/>
      <c r="H14" s="205"/>
      <c r="I14" s="205"/>
      <c r="J14" s="205"/>
      <c r="K14" s="205"/>
      <c r="L14" s="219"/>
      <c r="M14" s="219"/>
      <c r="N14" s="220"/>
      <c r="O14" s="144"/>
    </row>
    <row r="15" spans="1:17" hidden="1">
      <c r="A15" s="216"/>
      <c r="B15" s="217">
        <v>6</v>
      </c>
      <c r="C15" s="218"/>
      <c r="D15" s="205"/>
      <c r="E15" s="205"/>
      <c r="F15" s="205"/>
      <c r="G15" s="205"/>
      <c r="H15" s="205"/>
      <c r="I15" s="205"/>
      <c r="J15" s="205"/>
      <c r="K15" s="205"/>
      <c r="L15" s="219"/>
      <c r="M15" s="219"/>
      <c r="N15" s="220"/>
      <c r="O15" s="144"/>
    </row>
    <row r="16" spans="1:17" hidden="1">
      <c r="A16" s="216"/>
      <c r="B16" s="217">
        <v>7</v>
      </c>
      <c r="C16" s="218"/>
      <c r="D16" s="205"/>
      <c r="E16" s="205"/>
      <c r="F16" s="205"/>
      <c r="G16" s="205"/>
      <c r="H16" s="205"/>
      <c r="I16" s="205"/>
      <c r="J16" s="205"/>
      <c r="K16" s="205"/>
      <c r="L16" s="219"/>
      <c r="M16" s="219"/>
      <c r="N16" s="220"/>
      <c r="O16" s="144"/>
    </row>
    <row r="17" spans="1:15" hidden="1">
      <c r="A17" s="216"/>
      <c r="B17" s="217">
        <v>8</v>
      </c>
      <c r="C17" s="218"/>
      <c r="D17" s="205"/>
      <c r="E17" s="205"/>
      <c r="F17" s="205"/>
      <c r="G17" s="205"/>
      <c r="H17" s="205"/>
      <c r="I17" s="205"/>
      <c r="J17" s="205"/>
      <c r="K17" s="205"/>
      <c r="L17" s="219"/>
      <c r="M17" s="219"/>
      <c r="N17" s="220"/>
      <c r="O17" s="144"/>
    </row>
    <row r="18" spans="1:15" ht="15" hidden="1" customHeight="1">
      <c r="A18" s="216"/>
      <c r="B18" s="217">
        <v>9</v>
      </c>
      <c r="C18" s="218"/>
      <c r="D18" s="205"/>
      <c r="E18" s="205"/>
      <c r="F18" s="205"/>
      <c r="G18" s="205"/>
      <c r="H18" s="205"/>
      <c r="I18" s="205"/>
      <c r="J18" s="205"/>
      <c r="K18" s="205"/>
      <c r="L18" s="219"/>
      <c r="M18" s="219"/>
      <c r="N18" s="220"/>
      <c r="O18" s="144"/>
    </row>
    <row r="19" spans="1:15" ht="15" hidden="1" customHeight="1">
      <c r="A19" s="216"/>
      <c r="B19" s="217">
        <v>10</v>
      </c>
      <c r="C19" s="218"/>
      <c r="D19" s="205"/>
      <c r="E19" s="205"/>
      <c r="F19" s="205"/>
      <c r="G19" s="205"/>
      <c r="H19" s="205"/>
      <c r="I19" s="205"/>
      <c r="J19" s="205"/>
      <c r="K19" s="205"/>
      <c r="L19" s="219"/>
      <c r="M19" s="219"/>
      <c r="N19" s="220"/>
      <c r="O19" s="144"/>
    </row>
    <row r="20" spans="1:15" hidden="1">
      <c r="A20" s="216"/>
      <c r="B20" s="217">
        <v>11</v>
      </c>
      <c r="C20" s="218"/>
      <c r="D20" s="205"/>
      <c r="E20" s="205"/>
      <c r="F20" s="205"/>
      <c r="G20" s="205"/>
      <c r="H20" s="205"/>
      <c r="I20" s="205"/>
      <c r="J20" s="205"/>
      <c r="K20" s="205"/>
      <c r="L20" s="219"/>
      <c r="M20" s="219"/>
      <c r="N20" s="220"/>
      <c r="O20" s="144"/>
    </row>
    <row r="21" spans="1:15" ht="15" hidden="1" customHeight="1">
      <c r="A21" s="216"/>
      <c r="B21" s="217">
        <v>12</v>
      </c>
      <c r="C21" s="218"/>
      <c r="D21" s="205"/>
      <c r="E21" s="205"/>
      <c r="F21" s="205"/>
      <c r="G21" s="205"/>
      <c r="H21" s="205"/>
      <c r="I21" s="205"/>
      <c r="J21" s="205"/>
      <c r="K21" s="205"/>
      <c r="L21" s="219"/>
      <c r="M21" s="219"/>
      <c r="N21" s="220"/>
      <c r="O21" s="144"/>
    </row>
    <row r="22" spans="1:15" hidden="1">
      <c r="A22" s="216"/>
      <c r="B22" s="217">
        <v>13</v>
      </c>
      <c r="C22" s="218"/>
      <c r="D22" s="205"/>
      <c r="E22" s="205"/>
      <c r="F22" s="205"/>
      <c r="G22" s="205"/>
      <c r="H22" s="205"/>
      <c r="I22" s="205"/>
      <c r="J22" s="205"/>
      <c r="K22" s="205"/>
      <c r="L22" s="219"/>
      <c r="M22" s="219"/>
      <c r="N22" s="220"/>
      <c r="O22" s="144"/>
    </row>
    <row r="23" spans="1:15" hidden="1">
      <c r="A23" s="216"/>
      <c r="B23" s="217">
        <v>14</v>
      </c>
      <c r="C23" s="218"/>
      <c r="D23" s="205"/>
      <c r="E23" s="205"/>
      <c r="F23" s="205"/>
      <c r="G23" s="205"/>
      <c r="H23" s="205"/>
      <c r="I23" s="205"/>
      <c r="J23" s="205"/>
      <c r="K23" s="205"/>
      <c r="L23" s="219"/>
      <c r="M23" s="219"/>
      <c r="N23" s="220"/>
      <c r="O23" s="144"/>
    </row>
    <row r="24" spans="1:15" hidden="1">
      <c r="A24" s="216"/>
      <c r="B24" s="217">
        <v>15</v>
      </c>
      <c r="C24" s="218"/>
      <c r="D24" s="205"/>
      <c r="E24" s="205"/>
      <c r="F24" s="205"/>
      <c r="G24" s="205"/>
      <c r="H24" s="205"/>
      <c r="I24" s="205"/>
      <c r="J24" s="205"/>
      <c r="K24" s="205"/>
      <c r="L24" s="219"/>
      <c r="M24" s="219"/>
      <c r="N24" s="220"/>
      <c r="O24" s="144"/>
    </row>
    <row r="25" spans="1:15" hidden="1">
      <c r="A25" s="216"/>
      <c r="B25" s="217">
        <v>16</v>
      </c>
      <c r="C25" s="218"/>
      <c r="D25" s="205"/>
      <c r="E25" s="205"/>
      <c r="F25" s="205"/>
      <c r="G25" s="205"/>
      <c r="H25" s="205"/>
      <c r="I25" s="205"/>
      <c r="J25" s="205"/>
      <c r="K25" s="205"/>
      <c r="L25" s="219"/>
      <c r="M25" s="219"/>
      <c r="N25" s="220"/>
      <c r="O25" s="144"/>
    </row>
    <row r="26" spans="1:15" hidden="1">
      <c r="A26" s="216"/>
      <c r="B26" s="217">
        <v>17</v>
      </c>
      <c r="C26" s="218"/>
      <c r="D26" s="205"/>
      <c r="E26" s="205"/>
      <c r="F26" s="205"/>
      <c r="G26" s="205"/>
      <c r="H26" s="205"/>
      <c r="I26" s="205"/>
      <c r="J26" s="205"/>
      <c r="K26" s="205"/>
      <c r="L26" s="219"/>
      <c r="M26" s="219"/>
      <c r="N26" s="220"/>
      <c r="O26" s="144"/>
    </row>
    <row r="27" spans="1:15" hidden="1">
      <c r="A27" s="216"/>
      <c r="B27" s="217">
        <v>18</v>
      </c>
      <c r="C27" s="218"/>
      <c r="D27" s="205"/>
      <c r="E27" s="205"/>
      <c r="F27" s="205"/>
      <c r="G27" s="205"/>
      <c r="H27" s="205"/>
      <c r="I27" s="205"/>
      <c r="J27" s="205"/>
      <c r="K27" s="205"/>
      <c r="L27" s="219"/>
      <c r="M27" s="219"/>
      <c r="N27" s="220"/>
      <c r="O27" s="144"/>
    </row>
    <row r="28" spans="1:15" hidden="1">
      <c r="A28" s="216"/>
      <c r="B28" s="217">
        <v>19</v>
      </c>
      <c r="C28" s="218"/>
      <c r="D28" s="205"/>
      <c r="E28" s="205"/>
      <c r="F28" s="205"/>
      <c r="G28" s="205"/>
      <c r="H28" s="205"/>
      <c r="I28" s="205"/>
      <c r="J28" s="205"/>
      <c r="K28" s="205"/>
      <c r="L28" s="219"/>
      <c r="M28" s="219"/>
      <c r="N28" s="220"/>
      <c r="O28" s="144"/>
    </row>
    <row r="29" spans="1:15" hidden="1">
      <c r="A29" s="216"/>
      <c r="B29" s="217">
        <v>20</v>
      </c>
      <c r="C29" s="218"/>
      <c r="D29" s="205"/>
      <c r="E29" s="205"/>
      <c r="F29" s="205"/>
      <c r="G29" s="205"/>
      <c r="H29" s="205"/>
      <c r="I29" s="205"/>
      <c r="J29" s="205"/>
      <c r="K29" s="205"/>
      <c r="L29" s="219"/>
      <c r="M29" s="219"/>
      <c r="N29" s="220"/>
      <c r="O29" s="144"/>
    </row>
    <row r="30" spans="1:15" hidden="1">
      <c r="A30" s="216"/>
      <c r="B30" s="217">
        <v>21</v>
      </c>
      <c r="C30" s="218"/>
      <c r="D30" s="205"/>
      <c r="E30" s="205"/>
      <c r="F30" s="205"/>
      <c r="G30" s="205"/>
      <c r="H30" s="205"/>
      <c r="I30" s="205"/>
      <c r="J30" s="205"/>
      <c r="K30" s="205"/>
      <c r="L30" s="219"/>
      <c r="M30" s="219"/>
      <c r="N30" s="220"/>
      <c r="O30" s="144"/>
    </row>
    <row r="31" spans="1:15" hidden="1">
      <c r="A31" s="216"/>
      <c r="B31" s="217">
        <v>22</v>
      </c>
      <c r="C31" s="218"/>
      <c r="D31" s="205"/>
      <c r="E31" s="205"/>
      <c r="F31" s="205"/>
      <c r="G31" s="205"/>
      <c r="H31" s="205"/>
      <c r="I31" s="205"/>
      <c r="J31" s="205"/>
      <c r="K31" s="205"/>
      <c r="L31" s="219"/>
      <c r="M31" s="219"/>
      <c r="N31" s="220"/>
      <c r="O31" s="144"/>
    </row>
    <row r="32" spans="1:15" hidden="1">
      <c r="A32" s="216"/>
      <c r="B32" s="217">
        <v>23</v>
      </c>
      <c r="C32" s="218"/>
      <c r="D32" s="205"/>
      <c r="E32" s="205"/>
      <c r="F32" s="205"/>
      <c r="G32" s="205"/>
      <c r="H32" s="205"/>
      <c r="I32" s="205"/>
      <c r="J32" s="205"/>
      <c r="K32" s="205"/>
      <c r="L32" s="219"/>
      <c r="M32" s="219"/>
      <c r="N32" s="220"/>
      <c r="O32" s="144"/>
    </row>
    <row r="33" spans="1:15" hidden="1">
      <c r="A33" s="216"/>
      <c r="B33" s="217">
        <v>24</v>
      </c>
      <c r="C33" s="218"/>
      <c r="D33" s="205"/>
      <c r="E33" s="205"/>
      <c r="F33" s="205"/>
      <c r="G33" s="205"/>
      <c r="H33" s="205"/>
      <c r="I33" s="205"/>
      <c r="J33" s="205"/>
      <c r="K33" s="205"/>
      <c r="L33" s="219"/>
      <c r="M33" s="219"/>
      <c r="N33" s="220"/>
      <c r="O33" s="144"/>
    </row>
    <row r="34" spans="1:15" hidden="1">
      <c r="A34" s="216"/>
      <c r="B34" s="217">
        <v>25</v>
      </c>
      <c r="C34" s="218"/>
      <c r="D34" s="205"/>
      <c r="E34" s="205"/>
      <c r="F34" s="205"/>
      <c r="G34" s="205"/>
      <c r="H34" s="205"/>
      <c r="I34" s="205"/>
      <c r="J34" s="205"/>
      <c r="K34" s="205"/>
      <c r="L34" s="219"/>
      <c r="M34" s="219"/>
      <c r="N34" s="220"/>
      <c r="O34" s="144"/>
    </row>
    <row r="35" spans="1:15" hidden="1">
      <c r="A35" s="216"/>
      <c r="B35" s="217">
        <v>26</v>
      </c>
      <c r="C35" s="218"/>
      <c r="D35" s="205"/>
      <c r="E35" s="205"/>
      <c r="F35" s="205"/>
      <c r="G35" s="205"/>
      <c r="H35" s="205"/>
      <c r="I35" s="205"/>
      <c r="J35" s="205"/>
      <c r="K35" s="205"/>
      <c r="L35" s="219"/>
      <c r="M35" s="219"/>
      <c r="N35" s="220"/>
      <c r="O35" s="144"/>
    </row>
    <row r="36" spans="1:15" hidden="1">
      <c r="A36" s="216"/>
      <c r="B36" s="217">
        <v>27</v>
      </c>
      <c r="C36" s="218"/>
      <c r="D36" s="205"/>
      <c r="E36" s="205"/>
      <c r="F36" s="205"/>
      <c r="G36" s="205"/>
      <c r="H36" s="205"/>
      <c r="I36" s="205"/>
      <c r="J36" s="205"/>
      <c r="K36" s="205"/>
      <c r="L36" s="219"/>
      <c r="M36" s="219"/>
      <c r="N36" s="220"/>
      <c r="O36" s="144"/>
    </row>
    <row r="37" spans="1:15" hidden="1">
      <c r="A37" s="216"/>
      <c r="B37" s="217">
        <v>28</v>
      </c>
      <c r="C37" s="218"/>
      <c r="D37" s="205"/>
      <c r="E37" s="205"/>
      <c r="F37" s="205"/>
      <c r="G37" s="205"/>
      <c r="H37" s="205"/>
      <c r="I37" s="205"/>
      <c r="J37" s="205"/>
      <c r="K37" s="205"/>
      <c r="L37" s="219"/>
      <c r="M37" s="219"/>
      <c r="N37" s="220"/>
      <c r="O37" s="144"/>
    </row>
    <row r="38" spans="1:15" hidden="1">
      <c r="A38" s="216"/>
      <c r="B38" s="217">
        <v>29</v>
      </c>
      <c r="C38" s="218"/>
      <c r="D38" s="205"/>
      <c r="E38" s="205"/>
      <c r="F38" s="205"/>
      <c r="G38" s="205"/>
      <c r="H38" s="205"/>
      <c r="I38" s="205"/>
      <c r="J38" s="205"/>
      <c r="K38" s="205"/>
      <c r="L38" s="219"/>
      <c r="M38" s="219"/>
      <c r="N38" s="220"/>
      <c r="O38" s="144"/>
    </row>
    <row r="39" spans="1:15" hidden="1">
      <c r="A39" s="216"/>
      <c r="B39" s="217">
        <v>30</v>
      </c>
      <c r="C39" s="218"/>
      <c r="D39" s="205"/>
      <c r="E39" s="205"/>
      <c r="F39" s="205"/>
      <c r="G39" s="205"/>
      <c r="H39" s="205"/>
      <c r="I39" s="205"/>
      <c r="J39" s="205"/>
      <c r="K39" s="205"/>
      <c r="L39" s="219"/>
      <c r="M39" s="219"/>
      <c r="N39" s="220"/>
      <c r="O39" s="144"/>
    </row>
    <row r="40" spans="1:15" hidden="1">
      <c r="A40" s="216"/>
      <c r="B40" s="217">
        <v>31</v>
      </c>
      <c r="C40" s="218"/>
      <c r="D40" s="205"/>
      <c r="E40" s="205"/>
      <c r="F40" s="205"/>
      <c r="G40" s="205"/>
      <c r="H40" s="205"/>
      <c r="I40" s="205"/>
      <c r="J40" s="205"/>
      <c r="K40" s="205"/>
      <c r="L40" s="219"/>
      <c r="M40" s="219"/>
      <c r="N40" s="220"/>
      <c r="O40" s="144"/>
    </row>
    <row r="41" spans="1:15" hidden="1">
      <c r="A41" s="216"/>
      <c r="B41" s="217">
        <v>32</v>
      </c>
      <c r="C41" s="218"/>
      <c r="D41" s="205"/>
      <c r="E41" s="205"/>
      <c r="F41" s="205"/>
      <c r="G41" s="205"/>
      <c r="H41" s="205"/>
      <c r="I41" s="205"/>
      <c r="J41" s="205"/>
      <c r="K41" s="205"/>
      <c r="L41" s="219"/>
      <c r="M41" s="219"/>
      <c r="N41" s="220"/>
      <c r="O41" s="144"/>
    </row>
    <row r="42" spans="1:15" hidden="1">
      <c r="A42" s="216"/>
      <c r="B42" s="217">
        <v>33</v>
      </c>
      <c r="C42" s="218"/>
      <c r="D42" s="205"/>
      <c r="E42" s="205"/>
      <c r="F42" s="205"/>
      <c r="G42" s="205"/>
      <c r="H42" s="205"/>
      <c r="I42" s="205"/>
      <c r="J42" s="205"/>
      <c r="K42" s="205"/>
      <c r="L42" s="219"/>
      <c r="M42" s="219"/>
      <c r="N42" s="220"/>
      <c r="O42" s="144"/>
    </row>
    <row r="43" spans="1:15" hidden="1">
      <c r="A43" s="216"/>
      <c r="B43" s="217">
        <v>34</v>
      </c>
      <c r="C43" s="218"/>
      <c r="D43" s="205"/>
      <c r="E43" s="205"/>
      <c r="F43" s="205"/>
      <c r="G43" s="205"/>
      <c r="H43" s="205"/>
      <c r="I43" s="205"/>
      <c r="J43" s="205"/>
      <c r="K43" s="205"/>
      <c r="L43" s="219"/>
      <c r="M43" s="219"/>
      <c r="N43" s="220"/>
      <c r="O43" s="144"/>
    </row>
    <row r="44" spans="1:15" hidden="1">
      <c r="A44" s="216"/>
      <c r="B44" s="217">
        <v>35</v>
      </c>
      <c r="C44" s="218"/>
      <c r="D44" s="205"/>
      <c r="E44" s="205"/>
      <c r="F44" s="205"/>
      <c r="G44" s="205"/>
      <c r="H44" s="205"/>
      <c r="I44" s="205"/>
      <c r="J44" s="205"/>
      <c r="K44" s="205"/>
      <c r="L44" s="219"/>
      <c r="M44" s="219"/>
      <c r="N44" s="220"/>
      <c r="O44" s="144"/>
    </row>
    <row r="45" spans="1:15" hidden="1">
      <c r="A45" s="216"/>
      <c r="B45" s="217">
        <v>36</v>
      </c>
      <c r="C45" s="218"/>
      <c r="D45" s="205"/>
      <c r="E45" s="205"/>
      <c r="F45" s="205"/>
      <c r="G45" s="205"/>
      <c r="H45" s="205"/>
      <c r="I45" s="205"/>
      <c r="J45" s="205"/>
      <c r="K45" s="205"/>
      <c r="L45" s="219"/>
      <c r="M45" s="219"/>
      <c r="N45" s="220"/>
      <c r="O45" s="144"/>
    </row>
    <row r="46" spans="1:15" hidden="1">
      <c r="A46" s="216"/>
      <c r="B46" s="217">
        <v>37</v>
      </c>
      <c r="C46" s="218"/>
      <c r="D46" s="205"/>
      <c r="E46" s="205"/>
      <c r="F46" s="205"/>
      <c r="G46" s="205"/>
      <c r="H46" s="205"/>
      <c r="I46" s="205"/>
      <c r="J46" s="205"/>
      <c r="K46" s="205"/>
      <c r="L46" s="219"/>
      <c r="M46" s="219"/>
      <c r="N46" s="220"/>
      <c r="O46" s="144"/>
    </row>
    <row r="47" spans="1:15" hidden="1">
      <c r="A47" s="216"/>
      <c r="B47" s="217">
        <v>38</v>
      </c>
      <c r="C47" s="218"/>
      <c r="D47" s="205"/>
      <c r="E47" s="205"/>
      <c r="F47" s="205"/>
      <c r="G47" s="205"/>
      <c r="H47" s="205"/>
      <c r="I47" s="205"/>
      <c r="J47" s="205"/>
      <c r="K47" s="205"/>
      <c r="L47" s="219"/>
      <c r="M47" s="219"/>
      <c r="N47" s="220"/>
      <c r="O47" s="144"/>
    </row>
    <row r="48" spans="1:15" hidden="1">
      <c r="A48" s="216"/>
      <c r="B48" s="217">
        <v>39</v>
      </c>
      <c r="C48" s="218"/>
      <c r="D48" s="205"/>
      <c r="E48" s="205"/>
      <c r="F48" s="205"/>
      <c r="G48" s="205"/>
      <c r="H48" s="205"/>
      <c r="I48" s="205"/>
      <c r="J48" s="205"/>
      <c r="K48" s="205"/>
      <c r="L48" s="219"/>
      <c r="M48" s="219"/>
      <c r="N48" s="220"/>
      <c r="O48" s="144"/>
    </row>
    <row r="49" spans="1:15" hidden="1">
      <c r="A49" s="216"/>
      <c r="B49" s="217">
        <v>40</v>
      </c>
      <c r="C49" s="218"/>
      <c r="D49" s="205"/>
      <c r="E49" s="205"/>
      <c r="F49" s="205"/>
      <c r="G49" s="205"/>
      <c r="H49" s="205"/>
      <c r="I49" s="205"/>
      <c r="J49" s="205"/>
      <c r="K49" s="205"/>
      <c r="L49" s="219"/>
      <c r="M49" s="219"/>
      <c r="N49" s="220"/>
      <c r="O49" s="144"/>
    </row>
    <row r="50" spans="1:15" hidden="1">
      <c r="A50" s="216"/>
      <c r="B50" s="217">
        <v>41</v>
      </c>
      <c r="C50" s="218"/>
      <c r="D50" s="205"/>
      <c r="E50" s="205"/>
      <c r="F50" s="205"/>
      <c r="G50" s="205"/>
      <c r="H50" s="205"/>
      <c r="I50" s="205"/>
      <c r="J50" s="205"/>
      <c r="K50" s="205"/>
      <c r="L50" s="219"/>
      <c r="M50" s="219"/>
      <c r="N50" s="220"/>
      <c r="O50" s="144"/>
    </row>
    <row r="51" spans="1:15" hidden="1">
      <c r="A51" s="216"/>
      <c r="B51" s="217">
        <v>42</v>
      </c>
      <c r="C51" s="218"/>
      <c r="D51" s="205"/>
      <c r="E51" s="205"/>
      <c r="F51" s="205"/>
      <c r="G51" s="205"/>
      <c r="H51" s="205"/>
      <c r="I51" s="205"/>
      <c r="J51" s="205"/>
      <c r="K51" s="205"/>
      <c r="L51" s="219"/>
      <c r="M51" s="219"/>
      <c r="N51" s="220"/>
      <c r="O51" s="144"/>
    </row>
    <row r="52" spans="1:15" hidden="1">
      <c r="A52" s="216"/>
      <c r="B52" s="217">
        <v>43</v>
      </c>
      <c r="C52" s="218"/>
      <c r="D52" s="205"/>
      <c r="E52" s="205"/>
      <c r="F52" s="205"/>
      <c r="G52" s="205"/>
      <c r="H52" s="205"/>
      <c r="I52" s="205"/>
      <c r="J52" s="205"/>
      <c r="K52" s="205"/>
      <c r="L52" s="219"/>
      <c r="M52" s="219"/>
      <c r="N52" s="220"/>
      <c r="O52" s="144"/>
    </row>
    <row r="53" spans="1:15" hidden="1">
      <c r="A53" s="216"/>
      <c r="B53" s="217">
        <v>44</v>
      </c>
      <c r="C53" s="218"/>
      <c r="D53" s="205"/>
      <c r="E53" s="205"/>
      <c r="F53" s="205"/>
      <c r="G53" s="205"/>
      <c r="H53" s="205"/>
      <c r="I53" s="205"/>
      <c r="J53" s="205"/>
      <c r="K53" s="205"/>
      <c r="L53" s="219"/>
      <c r="M53" s="219"/>
      <c r="N53" s="220"/>
      <c r="O53" s="144"/>
    </row>
    <row r="54" spans="1:15" hidden="1">
      <c r="A54" s="216"/>
      <c r="B54" s="217">
        <v>45</v>
      </c>
      <c r="C54" s="218"/>
      <c r="D54" s="205"/>
      <c r="E54" s="205"/>
      <c r="F54" s="205"/>
      <c r="G54" s="205"/>
      <c r="H54" s="205"/>
      <c r="I54" s="205"/>
      <c r="J54" s="205"/>
      <c r="K54" s="205"/>
      <c r="L54" s="219"/>
      <c r="M54" s="219"/>
      <c r="N54" s="220"/>
      <c r="O54" s="144"/>
    </row>
    <row r="55" spans="1:15" hidden="1">
      <c r="A55" s="216"/>
      <c r="B55" s="217">
        <v>46</v>
      </c>
      <c r="C55" s="218"/>
      <c r="D55" s="205"/>
      <c r="E55" s="205"/>
      <c r="F55" s="205"/>
      <c r="G55" s="205"/>
      <c r="H55" s="205"/>
      <c r="I55" s="205"/>
      <c r="J55" s="205"/>
      <c r="K55" s="205"/>
      <c r="L55" s="219"/>
      <c r="M55" s="219"/>
      <c r="N55" s="220"/>
      <c r="O55" s="144"/>
    </row>
    <row r="56" spans="1:15" hidden="1">
      <c r="A56" s="216"/>
      <c r="B56" s="217">
        <v>47</v>
      </c>
      <c r="C56" s="218"/>
      <c r="D56" s="205"/>
      <c r="E56" s="205"/>
      <c r="F56" s="205"/>
      <c r="G56" s="205"/>
      <c r="H56" s="205"/>
      <c r="I56" s="205"/>
      <c r="J56" s="205"/>
      <c r="K56" s="205"/>
      <c r="L56" s="219"/>
      <c r="M56" s="219"/>
      <c r="N56" s="220"/>
      <c r="O56" s="144"/>
    </row>
    <row r="57" spans="1:15" hidden="1">
      <c r="A57" s="216"/>
      <c r="B57" s="217">
        <v>48</v>
      </c>
      <c r="C57" s="218"/>
      <c r="D57" s="205"/>
      <c r="E57" s="205"/>
      <c r="F57" s="205"/>
      <c r="G57" s="205"/>
      <c r="H57" s="205"/>
      <c r="I57" s="205"/>
      <c r="J57" s="205"/>
      <c r="K57" s="205"/>
      <c r="L57" s="219"/>
      <c r="M57" s="219"/>
      <c r="N57" s="220"/>
      <c r="O57" s="144"/>
    </row>
    <row r="58" spans="1:15" hidden="1">
      <c r="A58" s="216"/>
      <c r="B58" s="217">
        <v>49</v>
      </c>
      <c r="C58" s="218"/>
      <c r="D58" s="205"/>
      <c r="E58" s="205"/>
      <c r="F58" s="205"/>
      <c r="G58" s="205"/>
      <c r="H58" s="205"/>
      <c r="I58" s="205"/>
      <c r="J58" s="205"/>
      <c r="K58" s="205"/>
      <c r="L58" s="219"/>
      <c r="M58" s="219"/>
      <c r="N58" s="220"/>
      <c r="O58" s="144"/>
    </row>
    <row r="59" spans="1:15" hidden="1">
      <c r="A59" s="216"/>
      <c r="B59" s="217">
        <v>50</v>
      </c>
      <c r="C59" s="218"/>
      <c r="D59" s="205"/>
      <c r="E59" s="205"/>
      <c r="F59" s="205"/>
      <c r="G59" s="205"/>
      <c r="H59" s="205"/>
      <c r="I59" s="205"/>
      <c r="J59" s="205"/>
      <c r="K59" s="205"/>
      <c r="L59" s="219"/>
      <c r="M59" s="219"/>
      <c r="N59" s="220"/>
      <c r="O59" s="144"/>
    </row>
    <row r="60" spans="1:15" ht="28.5" customHeight="1">
      <c r="B60" s="654" t="s">
        <v>319</v>
      </c>
      <c r="C60" s="655"/>
      <c r="D60" s="221">
        <f t="shared" ref="D60:J60" si="0">SUM(D10:D59)</f>
        <v>0</v>
      </c>
      <c r="E60" s="221">
        <f t="shared" si="0"/>
        <v>0</v>
      </c>
      <c r="F60" s="221">
        <f t="shared" si="0"/>
        <v>0</v>
      </c>
      <c r="G60" s="221">
        <f t="shared" si="0"/>
        <v>0</v>
      </c>
      <c r="H60" s="221">
        <f t="shared" si="0"/>
        <v>0</v>
      </c>
      <c r="I60" s="221">
        <f t="shared" si="0"/>
        <v>0</v>
      </c>
      <c r="J60" s="221">
        <f t="shared" si="0"/>
        <v>0</v>
      </c>
      <c r="K60" s="176"/>
      <c r="L60" s="176"/>
      <c r="M60" s="176"/>
      <c r="N60" s="176"/>
      <c r="O60" s="144"/>
    </row>
    <row r="61" spans="1:15" ht="30" customHeight="1">
      <c r="B61" s="654" t="s">
        <v>320</v>
      </c>
      <c r="C61" s="655"/>
      <c r="D61" s="205"/>
      <c r="E61" s="205"/>
      <c r="F61" s="205"/>
      <c r="G61" s="205"/>
      <c r="H61" s="205"/>
      <c r="I61" s="205"/>
      <c r="J61" s="205"/>
      <c r="K61" s="176"/>
      <c r="L61" s="219"/>
      <c r="M61" s="219"/>
      <c r="N61" s="176"/>
      <c r="O61" s="144"/>
    </row>
    <row r="62" spans="1:15">
      <c r="B62" s="654" t="s">
        <v>321</v>
      </c>
      <c r="C62" s="655"/>
      <c r="D62" s="176"/>
      <c r="E62" s="176"/>
      <c r="F62" s="205"/>
      <c r="G62" s="205"/>
      <c r="H62" s="205"/>
      <c r="I62" s="205"/>
      <c r="J62" s="205"/>
      <c r="K62" s="176"/>
      <c r="L62" s="219"/>
      <c r="M62" s="219"/>
      <c r="N62" s="176"/>
      <c r="O62" s="144"/>
    </row>
    <row r="63" spans="1:15" ht="30" customHeight="1">
      <c r="B63" s="654" t="s">
        <v>357</v>
      </c>
      <c r="C63" s="655"/>
      <c r="D63" s="221">
        <f>SUM(D60:D62)</f>
        <v>0</v>
      </c>
      <c r="E63" s="221">
        <f>SUM(E60:E62)</f>
        <v>0</v>
      </c>
      <c r="F63" s="221">
        <f t="shared" ref="F63:J63" si="1">SUM(F60:F62)</f>
        <v>0</v>
      </c>
      <c r="G63" s="221">
        <f t="shared" si="1"/>
        <v>0</v>
      </c>
      <c r="H63" s="221">
        <f t="shared" si="1"/>
        <v>0</v>
      </c>
      <c r="I63" s="221">
        <f t="shared" si="1"/>
        <v>0</v>
      </c>
      <c r="J63" s="221">
        <f t="shared" si="1"/>
        <v>0</v>
      </c>
      <c r="K63" s="176"/>
      <c r="L63" s="176"/>
      <c r="M63" s="176"/>
      <c r="N63" s="176"/>
      <c r="O63" s="144"/>
    </row>
    <row r="64" spans="1:15" ht="18.75" customHeight="1">
      <c r="B64" s="778" t="s">
        <v>994</v>
      </c>
      <c r="C64" s="778"/>
      <c r="D64" s="778"/>
      <c r="E64" s="778"/>
      <c r="F64" s="778"/>
      <c r="G64" s="778"/>
      <c r="H64" s="778"/>
      <c r="I64" s="778"/>
      <c r="J64" s="778"/>
      <c r="K64" s="778"/>
      <c r="L64" s="132"/>
      <c r="M64" s="132"/>
      <c r="N64" s="132"/>
    </row>
    <row r="65" spans="1:14" ht="18.75" customHeight="1"/>
    <row r="66" spans="1:14" ht="23.25" customHeight="1">
      <c r="B66" s="32" t="s">
        <v>1031</v>
      </c>
      <c r="C66" s="32"/>
      <c r="D66" s="32"/>
      <c r="E66" s="32"/>
      <c r="F66" s="32"/>
      <c r="G66" s="32"/>
      <c r="H66" s="32"/>
      <c r="I66" s="32"/>
      <c r="J66" s="32"/>
      <c r="K66" s="32"/>
      <c r="L66" s="32"/>
      <c r="M66" s="32"/>
      <c r="N66" s="32"/>
    </row>
    <row r="67" spans="1:14" ht="17.25">
      <c r="B67" s="842" t="s">
        <v>325</v>
      </c>
      <c r="C67" s="842"/>
      <c r="D67" s="842"/>
      <c r="E67" s="842"/>
      <c r="F67" s="842"/>
      <c r="G67" s="842"/>
      <c r="H67" s="842"/>
      <c r="I67" s="842"/>
      <c r="J67" s="842"/>
      <c r="K67" s="842"/>
      <c r="M67" s="32"/>
    </row>
    <row r="69" spans="1:14" s="15" customFormat="1" ht="15" hidden="1" customHeight="1">
      <c r="A69" s="6" t="s">
        <v>693</v>
      </c>
      <c r="C69" s="798" t="s">
        <v>323</v>
      </c>
      <c r="D69" s="799"/>
      <c r="E69" s="800" t="str">
        <f>IF(C10="","",C10)</f>
        <v/>
      </c>
      <c r="F69" s="801"/>
      <c r="G69" s="801"/>
      <c r="H69" s="801"/>
      <c r="I69" s="801"/>
      <c r="J69" s="654" t="s">
        <v>322</v>
      </c>
      <c r="K69" s="655"/>
      <c r="L69" s="802">
        <f>D10</f>
        <v>0</v>
      </c>
      <c r="M69" s="803"/>
      <c r="N69" s="222"/>
    </row>
    <row r="70" spans="1:14" ht="45" hidden="1" customHeight="1">
      <c r="C70" s="654" t="s">
        <v>995</v>
      </c>
      <c r="D70" s="655"/>
      <c r="E70" s="808"/>
      <c r="F70" s="809"/>
      <c r="G70" s="809"/>
      <c r="H70" s="809"/>
      <c r="I70" s="809"/>
      <c r="J70" s="809"/>
      <c r="K70" s="809"/>
      <c r="L70" s="809"/>
      <c r="M70" s="809"/>
      <c r="N70" s="144"/>
    </row>
    <row r="71" spans="1:14" ht="60" hidden="1"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11"/>
      <c r="E71" s="398" t="s">
        <v>240</v>
      </c>
      <c r="F71" s="632"/>
      <c r="G71" s="633"/>
      <c r="H71" s="633"/>
      <c r="I71" s="633"/>
      <c r="J71" s="633"/>
      <c r="K71" s="633"/>
      <c r="L71" s="633"/>
      <c r="M71" s="724"/>
      <c r="N71" s="144"/>
    </row>
    <row r="72" spans="1:14" ht="15" hidden="1"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hidden="1" customHeight="1">
      <c r="C73" s="826"/>
      <c r="D73" s="827"/>
      <c r="E73" s="411"/>
      <c r="F73" s="411"/>
      <c r="G73" s="411"/>
      <c r="H73" s="411"/>
      <c r="I73" s="411"/>
      <c r="J73" s="411"/>
      <c r="K73" s="411"/>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45" hidden="1"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20"/>
      <c r="F81" s="809"/>
      <c r="G81" s="809"/>
      <c r="H81" s="809"/>
      <c r="I81" s="809"/>
      <c r="J81" s="809"/>
      <c r="K81" s="809"/>
      <c r="L81" s="809"/>
      <c r="M81" s="809"/>
      <c r="N81" s="144"/>
    </row>
    <row r="82" spans="1:14" hidden="1">
      <c r="C82" s="654" t="s">
        <v>996</v>
      </c>
      <c r="D82" s="655"/>
      <c r="E82" s="189" t="s">
        <v>240</v>
      </c>
      <c r="F82" s="806"/>
      <c r="G82" s="807"/>
      <c r="H82" s="807"/>
      <c r="I82" s="807"/>
      <c r="J82" s="807"/>
      <c r="K82" s="807"/>
      <c r="L82" s="807"/>
      <c r="M82" s="807"/>
      <c r="N82" s="144"/>
    </row>
    <row r="83" spans="1:14" hidden="1">
      <c r="C83" s="654" t="s">
        <v>326</v>
      </c>
      <c r="D83" s="655"/>
      <c r="E83" s="189" t="s">
        <v>240</v>
      </c>
      <c r="F83" s="806"/>
      <c r="G83" s="807"/>
      <c r="H83" s="807"/>
      <c r="I83" s="807"/>
      <c r="J83" s="807"/>
      <c r="K83" s="807"/>
      <c r="L83" s="807"/>
      <c r="M83" s="807"/>
      <c r="N83" s="144"/>
    </row>
    <row r="84" spans="1:14" hidden="1">
      <c r="C84" s="804" t="s">
        <v>997</v>
      </c>
      <c r="D84" s="805"/>
      <c r="E84" s="189" t="s">
        <v>240</v>
      </c>
      <c r="F84" s="806"/>
      <c r="G84" s="807"/>
      <c r="H84" s="807"/>
      <c r="I84" s="807"/>
      <c r="J84" s="807"/>
      <c r="K84" s="807"/>
      <c r="L84" s="807"/>
      <c r="M84" s="807"/>
      <c r="N84" s="144"/>
    </row>
    <row r="85" spans="1:14" ht="30" hidden="1" customHeight="1">
      <c r="C85" s="804" t="s">
        <v>327</v>
      </c>
      <c r="D85" s="805"/>
      <c r="E85" s="189" t="s">
        <v>240</v>
      </c>
      <c r="F85" s="806"/>
      <c r="G85" s="807"/>
      <c r="H85" s="807"/>
      <c r="I85" s="807"/>
      <c r="J85" s="807"/>
      <c r="K85" s="807"/>
      <c r="L85" s="807"/>
      <c r="M85" s="807"/>
      <c r="N85" s="181"/>
    </row>
    <row r="86" spans="1:14" ht="9" hidden="1" customHeight="1">
      <c r="C86" s="132"/>
      <c r="D86" s="132"/>
      <c r="E86" s="132"/>
      <c r="F86" s="132"/>
      <c r="G86" s="132"/>
      <c r="H86" s="132"/>
      <c r="I86" s="132"/>
      <c r="J86" s="132"/>
      <c r="K86" s="132"/>
      <c r="L86" s="132"/>
      <c r="M86" s="132"/>
    </row>
    <row r="87" spans="1:14" hidden="1">
      <c r="B87"/>
      <c r="C87"/>
      <c r="D87"/>
      <c r="E87"/>
      <c r="F87"/>
      <c r="G87"/>
      <c r="H87"/>
      <c r="I87"/>
      <c r="J87"/>
      <c r="K87"/>
      <c r="L87"/>
      <c r="M87"/>
    </row>
    <row r="88" spans="1:14" s="15" customFormat="1" ht="15" hidden="1" customHeight="1">
      <c r="A88" s="6" t="s">
        <v>693</v>
      </c>
      <c r="C88" s="798" t="s">
        <v>644</v>
      </c>
      <c r="D88" s="799"/>
      <c r="E88" s="800" t="str">
        <f>IF(C11="","",C11)</f>
        <v/>
      </c>
      <c r="F88" s="801"/>
      <c r="G88" s="801"/>
      <c r="H88" s="801"/>
      <c r="I88" s="801"/>
      <c r="J88" s="654" t="s">
        <v>322</v>
      </c>
      <c r="K88" s="655"/>
      <c r="L88" s="802">
        <f>D11</f>
        <v>0</v>
      </c>
      <c r="M88" s="803"/>
      <c r="N88" s="222"/>
    </row>
    <row r="89" spans="1:14" ht="45" hidden="1" customHeight="1">
      <c r="C89" s="654" t="s">
        <v>995</v>
      </c>
      <c r="D89" s="655"/>
      <c r="E89" s="808"/>
      <c r="F89" s="809"/>
      <c r="G89" s="809"/>
      <c r="H89" s="809"/>
      <c r="I89" s="809"/>
      <c r="J89" s="809"/>
      <c r="K89" s="809"/>
      <c r="L89" s="809"/>
      <c r="M89" s="809"/>
      <c r="N89" s="144"/>
    </row>
    <row r="90" spans="1:14" ht="60" hidden="1"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1"/>
      <c r="E90" s="398" t="s">
        <v>240</v>
      </c>
      <c r="F90" s="632"/>
      <c r="G90" s="633"/>
      <c r="H90" s="633"/>
      <c r="I90" s="633"/>
      <c r="J90" s="633"/>
      <c r="K90" s="633"/>
      <c r="L90" s="633"/>
      <c r="M90" s="724"/>
      <c r="N90" s="144"/>
    </row>
    <row r="91" spans="1:14" ht="15" hidden="1"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hidden="1" customHeight="1">
      <c r="C92" s="826"/>
      <c r="D92" s="827"/>
      <c r="E92" s="411"/>
      <c r="F92" s="411"/>
      <c r="G92" s="411"/>
      <c r="H92" s="411"/>
      <c r="I92" s="411"/>
      <c r="J92" s="411"/>
      <c r="K92" s="411"/>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45" hidden="1"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20"/>
      <c r="F100" s="809"/>
      <c r="G100" s="809"/>
      <c r="H100" s="809"/>
      <c r="I100" s="809"/>
      <c r="J100" s="809"/>
      <c r="K100" s="809"/>
      <c r="L100" s="809"/>
      <c r="M100" s="809"/>
      <c r="N100" s="144"/>
    </row>
    <row r="101" spans="1:14" hidden="1">
      <c r="C101" s="654" t="s">
        <v>996</v>
      </c>
      <c r="D101" s="655"/>
      <c r="E101" s="189" t="s">
        <v>240</v>
      </c>
      <c r="F101" s="806"/>
      <c r="G101" s="807"/>
      <c r="H101" s="807"/>
      <c r="I101" s="807"/>
      <c r="J101" s="807"/>
      <c r="K101" s="807"/>
      <c r="L101" s="807"/>
      <c r="M101" s="807"/>
      <c r="N101" s="144"/>
    </row>
    <row r="102" spans="1:14" hidden="1">
      <c r="C102" s="654" t="s">
        <v>326</v>
      </c>
      <c r="D102" s="655"/>
      <c r="E102" s="189" t="s">
        <v>240</v>
      </c>
      <c r="F102" s="806"/>
      <c r="G102" s="807"/>
      <c r="H102" s="807"/>
      <c r="I102" s="807"/>
      <c r="J102" s="807"/>
      <c r="K102" s="807"/>
      <c r="L102" s="807"/>
      <c r="M102" s="807"/>
      <c r="N102" s="144"/>
    </row>
    <row r="103" spans="1:14" ht="15" hidden="1" customHeight="1">
      <c r="C103" s="804" t="s">
        <v>997</v>
      </c>
      <c r="D103" s="805"/>
      <c r="E103" s="189" t="s">
        <v>240</v>
      </c>
      <c r="F103" s="806"/>
      <c r="G103" s="807"/>
      <c r="H103" s="807"/>
      <c r="I103" s="807"/>
      <c r="J103" s="807"/>
      <c r="K103" s="807"/>
      <c r="L103" s="807"/>
      <c r="M103" s="807"/>
      <c r="N103" s="144"/>
    </row>
    <row r="104" spans="1:14" ht="30" hidden="1" customHeight="1">
      <c r="C104" s="804" t="s">
        <v>327</v>
      </c>
      <c r="D104" s="805"/>
      <c r="E104" s="189" t="s">
        <v>240</v>
      </c>
      <c r="F104" s="806"/>
      <c r="G104" s="807"/>
      <c r="H104" s="807"/>
      <c r="I104" s="807"/>
      <c r="J104" s="807"/>
      <c r="K104" s="807"/>
      <c r="L104" s="807"/>
      <c r="M104" s="807"/>
      <c r="N104" s="181"/>
    </row>
    <row r="105" spans="1:14" ht="9" hidden="1" customHeight="1">
      <c r="C105" s="132"/>
      <c r="D105" s="132"/>
      <c r="E105" s="132"/>
      <c r="F105" s="132"/>
      <c r="G105" s="132"/>
      <c r="H105" s="132"/>
      <c r="I105" s="132"/>
      <c r="J105" s="132"/>
      <c r="K105" s="132"/>
      <c r="L105" s="132"/>
      <c r="M105" s="132"/>
    </row>
    <row r="106" spans="1:14" hidden="1">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8" spans="2:15" hidden="1"/>
    <row r="1019" spans="2:15" ht="17.25">
      <c r="B1019" s="32" t="s">
        <v>1030</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1680</v>
      </c>
      <c r="C1021" s="32"/>
      <c r="D1021" s="32"/>
      <c r="E1021" s="32"/>
      <c r="F1021" s="32"/>
      <c r="G1021" s="32"/>
      <c r="H1021" s="32"/>
      <c r="I1021" s="32"/>
      <c r="J1021" s="32"/>
      <c r="K1021" s="32"/>
      <c r="L1021" s="32"/>
      <c r="M1021" s="32"/>
      <c r="N1021" s="32"/>
    </row>
    <row r="1022" spans="2:15" ht="15" customHeight="1"/>
    <row r="1023" spans="2:15" ht="99.75" customHeight="1">
      <c r="B1023" s="758"/>
      <c r="C1023" s="759"/>
      <c r="D1023" s="759"/>
      <c r="E1023" s="759"/>
      <c r="F1023" s="759"/>
      <c r="G1023" s="759"/>
      <c r="H1023" s="759"/>
      <c r="I1023" s="759"/>
      <c r="J1023" s="759"/>
      <c r="K1023" s="759"/>
      <c r="L1023" s="759"/>
      <c r="M1023" s="759"/>
      <c r="N1023" s="768"/>
      <c r="O1023" s="144"/>
    </row>
    <row r="1024" spans="2:15" ht="17.25">
      <c r="B1024" s="32"/>
      <c r="C1024" s="32"/>
      <c r="D1024" s="32"/>
      <c r="E1024" s="32"/>
      <c r="F1024" s="32"/>
      <c r="G1024" s="32"/>
      <c r="H1024" s="32"/>
      <c r="I1024" s="32"/>
      <c r="J1024" s="32"/>
      <c r="K1024" s="32"/>
      <c r="L1024" s="32"/>
      <c r="M1024" s="32"/>
      <c r="N1024" s="32"/>
    </row>
    <row r="1025" spans="2:14" ht="17.25">
      <c r="B1025" s="50" t="s">
        <v>1681</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857" t="s">
        <v>1667</v>
      </c>
      <c r="E1027" s="857"/>
      <c r="F1027" s="857"/>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313">
        <v>2020</v>
      </c>
      <c r="G1030" s="313">
        <v>2021</v>
      </c>
      <c r="H1030" s="313">
        <v>2022</v>
      </c>
      <c r="I1030" s="313">
        <v>2023</v>
      </c>
      <c r="J1030" s="313">
        <v>2024</v>
      </c>
      <c r="K1030" s="795"/>
      <c r="L1030" s="796"/>
      <c r="M1030" s="796"/>
      <c r="N1030" s="797"/>
    </row>
    <row r="1031" spans="2:14" hidden="1">
      <c r="B1031" s="403">
        <v>1</v>
      </c>
      <c r="C1031" s="401"/>
      <c r="D1031" s="205"/>
      <c r="E1031" s="205"/>
      <c r="F1031" s="402"/>
      <c r="G1031" s="402"/>
      <c r="H1031" s="402"/>
      <c r="I1031" s="402"/>
      <c r="J1031" s="402"/>
      <c r="K1031" s="790"/>
      <c r="L1031" s="791"/>
      <c r="M1031" s="791"/>
      <c r="N1031" s="792"/>
    </row>
    <row r="1032" spans="2:14" hidden="1">
      <c r="B1032" s="403">
        <v>2</v>
      </c>
      <c r="C1032" s="401"/>
      <c r="D1032" s="205"/>
      <c r="E1032" s="205"/>
      <c r="F1032" s="402"/>
      <c r="G1032" s="402"/>
      <c r="H1032" s="402"/>
      <c r="I1032" s="402"/>
      <c r="J1032" s="402"/>
      <c r="K1032" s="790"/>
      <c r="L1032" s="791"/>
      <c r="M1032" s="791"/>
      <c r="N1032" s="792"/>
    </row>
    <row r="1033" spans="2:14" hidden="1">
      <c r="B1033" s="403">
        <v>3</v>
      </c>
      <c r="C1033" s="401"/>
      <c r="D1033" s="205"/>
      <c r="E1033" s="205"/>
      <c r="F1033" s="402"/>
      <c r="G1033" s="402"/>
      <c r="H1033" s="402"/>
      <c r="I1033" s="402"/>
      <c r="J1033" s="402"/>
      <c r="K1033" s="790"/>
      <c r="L1033" s="791"/>
      <c r="M1033" s="791"/>
      <c r="N1033" s="792"/>
    </row>
    <row r="1034" spans="2:14" hidden="1">
      <c r="B1034" s="403">
        <v>4</v>
      </c>
      <c r="C1034" s="401"/>
      <c r="D1034" s="205"/>
      <c r="E1034" s="205"/>
      <c r="F1034" s="402"/>
      <c r="G1034" s="402"/>
      <c r="H1034" s="402"/>
      <c r="I1034" s="402"/>
      <c r="J1034" s="402"/>
      <c r="K1034" s="790"/>
      <c r="L1034" s="791"/>
      <c r="M1034" s="791"/>
      <c r="N1034" s="792"/>
    </row>
    <row r="1035" spans="2:14" hidden="1">
      <c r="B1035" s="403">
        <v>5</v>
      </c>
      <c r="C1035" s="401"/>
      <c r="D1035" s="205"/>
      <c r="E1035" s="205"/>
      <c r="F1035" s="402"/>
      <c r="G1035" s="402"/>
      <c r="H1035" s="402"/>
      <c r="I1035" s="402"/>
      <c r="J1035" s="402"/>
      <c r="K1035" s="790"/>
      <c r="L1035" s="791"/>
      <c r="M1035" s="791"/>
      <c r="N1035" s="792"/>
    </row>
    <row r="1036" spans="2:14" hidden="1">
      <c r="B1036" s="403">
        <v>6</v>
      </c>
      <c r="C1036" s="401"/>
      <c r="D1036" s="205"/>
      <c r="E1036" s="205"/>
      <c r="F1036" s="402"/>
      <c r="G1036" s="402"/>
      <c r="H1036" s="402"/>
      <c r="I1036" s="402"/>
      <c r="J1036" s="402"/>
      <c r="K1036" s="790"/>
      <c r="L1036" s="791"/>
      <c r="M1036" s="791"/>
      <c r="N1036" s="792"/>
    </row>
    <row r="1037" spans="2:14" hidden="1">
      <c r="B1037" s="403">
        <v>7</v>
      </c>
      <c r="C1037" s="401"/>
      <c r="D1037" s="205"/>
      <c r="E1037" s="205"/>
      <c r="F1037" s="402"/>
      <c r="G1037" s="402"/>
      <c r="H1037" s="402"/>
      <c r="I1037" s="402"/>
      <c r="J1037" s="402"/>
      <c r="K1037" s="790"/>
      <c r="L1037" s="791"/>
      <c r="M1037" s="791"/>
      <c r="N1037" s="792"/>
    </row>
    <row r="1038" spans="2:14" hidden="1">
      <c r="B1038" s="403">
        <v>8</v>
      </c>
      <c r="C1038" s="401"/>
      <c r="D1038" s="205"/>
      <c r="E1038" s="205"/>
      <c r="F1038" s="402"/>
      <c r="G1038" s="402"/>
      <c r="H1038" s="402"/>
      <c r="I1038" s="402"/>
      <c r="J1038" s="402"/>
      <c r="K1038" s="790"/>
      <c r="L1038" s="791"/>
      <c r="M1038" s="791"/>
      <c r="N1038" s="792"/>
    </row>
    <row r="1039" spans="2:14" hidden="1">
      <c r="B1039" s="403">
        <v>9</v>
      </c>
      <c r="C1039" s="401"/>
      <c r="D1039" s="205"/>
      <c r="E1039" s="205"/>
      <c r="F1039" s="402"/>
      <c r="G1039" s="402"/>
      <c r="H1039" s="402"/>
      <c r="I1039" s="402"/>
      <c r="J1039" s="402"/>
      <c r="K1039" s="790"/>
      <c r="L1039" s="791"/>
      <c r="M1039" s="791"/>
      <c r="N1039" s="792"/>
    </row>
    <row r="1040" spans="2:14" hidden="1">
      <c r="B1040" s="403">
        <v>10</v>
      </c>
      <c r="C1040" s="401"/>
      <c r="D1040" s="205"/>
      <c r="E1040" s="205"/>
      <c r="F1040" s="402"/>
      <c r="G1040" s="402"/>
      <c r="H1040" s="402"/>
      <c r="I1040" s="402"/>
      <c r="J1040" s="402"/>
      <c r="K1040" s="790"/>
      <c r="L1040" s="791"/>
      <c r="M1040" s="791"/>
      <c r="N1040" s="792"/>
    </row>
    <row r="1041" spans="2:14" hidden="1">
      <c r="B1041" s="403">
        <v>11</v>
      </c>
      <c r="C1041" s="401"/>
      <c r="D1041" s="205"/>
      <c r="E1041" s="205"/>
      <c r="F1041" s="402"/>
      <c r="G1041" s="402"/>
      <c r="H1041" s="402"/>
      <c r="I1041" s="402"/>
      <c r="J1041" s="402"/>
      <c r="K1041" s="790"/>
      <c r="L1041" s="791"/>
      <c r="M1041" s="791"/>
      <c r="N1041" s="792"/>
    </row>
    <row r="1042" spans="2:14" hidden="1">
      <c r="B1042" s="403">
        <v>12</v>
      </c>
      <c r="C1042" s="401"/>
      <c r="D1042" s="205"/>
      <c r="E1042" s="205"/>
      <c r="F1042" s="402"/>
      <c r="G1042" s="402"/>
      <c r="H1042" s="402"/>
      <c r="I1042" s="402"/>
      <c r="J1042" s="402"/>
      <c r="K1042" s="790"/>
      <c r="L1042" s="791"/>
      <c r="M1042" s="791"/>
      <c r="N1042" s="792"/>
    </row>
    <row r="1043" spans="2:14" hidden="1">
      <c r="B1043" s="403">
        <v>13</v>
      </c>
      <c r="C1043" s="401"/>
      <c r="D1043" s="205"/>
      <c r="E1043" s="205"/>
      <c r="F1043" s="402"/>
      <c r="G1043" s="402"/>
      <c r="H1043" s="402"/>
      <c r="I1043" s="402"/>
      <c r="J1043" s="402"/>
      <c r="K1043" s="790"/>
      <c r="L1043" s="791"/>
      <c r="M1043" s="791"/>
      <c r="N1043" s="792"/>
    </row>
    <row r="1044" spans="2:14" hidden="1">
      <c r="B1044" s="403">
        <v>14</v>
      </c>
      <c r="C1044" s="401"/>
      <c r="D1044" s="205"/>
      <c r="E1044" s="205"/>
      <c r="F1044" s="402"/>
      <c r="G1044" s="402"/>
      <c r="H1044" s="402"/>
      <c r="I1044" s="402"/>
      <c r="J1044" s="402"/>
      <c r="K1044" s="790"/>
      <c r="L1044" s="791"/>
      <c r="M1044" s="791"/>
      <c r="N1044" s="792"/>
    </row>
    <row r="1045" spans="2:14" hidden="1">
      <c r="B1045" s="403">
        <v>15</v>
      </c>
      <c r="C1045" s="401"/>
      <c r="D1045" s="205"/>
      <c r="E1045" s="205"/>
      <c r="F1045" s="402"/>
      <c r="G1045" s="402"/>
      <c r="H1045" s="402"/>
      <c r="I1045" s="402"/>
      <c r="J1045" s="402"/>
      <c r="K1045" s="790"/>
      <c r="L1045" s="791"/>
      <c r="M1045" s="791"/>
      <c r="N1045" s="792"/>
    </row>
    <row r="1046" spans="2:14" hidden="1">
      <c r="B1046" s="403">
        <v>16</v>
      </c>
      <c r="C1046" s="401"/>
      <c r="D1046" s="205"/>
      <c r="E1046" s="205"/>
      <c r="F1046" s="402"/>
      <c r="G1046" s="402"/>
      <c r="H1046" s="402"/>
      <c r="I1046" s="402"/>
      <c r="J1046" s="402"/>
      <c r="K1046" s="790"/>
      <c r="L1046" s="791"/>
      <c r="M1046" s="791"/>
      <c r="N1046" s="792"/>
    </row>
    <row r="1047" spans="2:14" hidden="1">
      <c r="B1047" s="403">
        <v>17</v>
      </c>
      <c r="C1047" s="401"/>
      <c r="D1047" s="205"/>
      <c r="E1047" s="205"/>
      <c r="F1047" s="402"/>
      <c r="G1047" s="402"/>
      <c r="H1047" s="402"/>
      <c r="I1047" s="402"/>
      <c r="J1047" s="402"/>
      <c r="K1047" s="790"/>
      <c r="L1047" s="791"/>
      <c r="M1047" s="791"/>
      <c r="N1047" s="792"/>
    </row>
    <row r="1048" spans="2:14" hidden="1">
      <c r="B1048" s="403">
        <v>18</v>
      </c>
      <c r="C1048" s="401"/>
      <c r="D1048" s="205"/>
      <c r="E1048" s="205"/>
      <c r="F1048" s="402"/>
      <c r="G1048" s="402"/>
      <c r="H1048" s="402"/>
      <c r="I1048" s="402"/>
      <c r="J1048" s="402"/>
      <c r="K1048" s="790"/>
      <c r="L1048" s="791"/>
      <c r="M1048" s="791"/>
      <c r="N1048" s="792"/>
    </row>
    <row r="1049" spans="2:14" hidden="1">
      <c r="B1049" s="403">
        <v>19</v>
      </c>
      <c r="C1049" s="401"/>
      <c r="D1049" s="205"/>
      <c r="E1049" s="205"/>
      <c r="F1049" s="402"/>
      <c r="G1049" s="402"/>
      <c r="H1049" s="402"/>
      <c r="I1049" s="402"/>
      <c r="J1049" s="402"/>
      <c r="K1049" s="790"/>
      <c r="L1049" s="791"/>
      <c r="M1049" s="791"/>
      <c r="N1049" s="792"/>
    </row>
    <row r="1050" spans="2:14" hidden="1">
      <c r="B1050" s="403">
        <v>20</v>
      </c>
      <c r="C1050" s="401"/>
      <c r="D1050" s="404"/>
      <c r="E1050" s="402"/>
      <c r="F1050" s="402"/>
      <c r="G1050" s="402"/>
      <c r="H1050" s="402"/>
      <c r="I1050" s="402"/>
      <c r="J1050" s="402"/>
      <c r="K1050" s="790"/>
      <c r="L1050" s="791"/>
      <c r="M1050" s="791"/>
      <c r="N1050" s="792"/>
    </row>
    <row r="1051" spans="2:14" ht="15" customHeight="1">
      <c r="B1051" s="132"/>
      <c r="C1051" s="132"/>
      <c r="D1051" s="132"/>
      <c r="E1051" s="132"/>
      <c r="F1051" s="132"/>
      <c r="G1051" s="132"/>
      <c r="H1051" s="132"/>
      <c r="I1051" s="132"/>
      <c r="J1051" s="132"/>
      <c r="K1051" s="132"/>
      <c r="L1051" s="132"/>
      <c r="M1051" s="132"/>
      <c r="N1051" s="132"/>
    </row>
    <row r="1052" spans="2:14" ht="15" customHeight="1">
      <c r="F1052" s="455"/>
      <c r="G1052" s="455"/>
      <c r="H1052" s="455"/>
      <c r="I1052" s="455"/>
      <c r="J1052" s="455"/>
      <c r="K1052" s="455"/>
      <c r="L1052" s="455"/>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985" priority="54">
      <formula>$A$2="PRINT"</formula>
    </cfRule>
  </conditionalFormatting>
  <conditionalFormatting sqref="E71">
    <cfRule type="expression" dxfId="984" priority="53">
      <formula>$A$2="PRINT"</formula>
    </cfRule>
  </conditionalFormatting>
  <conditionalFormatting sqref="E90">
    <cfRule type="expression" dxfId="983" priority="52">
      <formula>$A$2="PRINT"</formula>
    </cfRule>
  </conditionalFormatting>
  <conditionalFormatting sqref="E109">
    <cfRule type="expression" dxfId="982" priority="51">
      <formula>$A$2="PRINT"</formula>
    </cfRule>
  </conditionalFormatting>
  <conditionalFormatting sqref="E128">
    <cfRule type="expression" dxfId="981" priority="50">
      <formula>$A$2="PRINT"</formula>
    </cfRule>
  </conditionalFormatting>
  <conditionalFormatting sqref="E147">
    <cfRule type="expression" dxfId="980" priority="49">
      <formula>$A$2="PRINT"</formula>
    </cfRule>
  </conditionalFormatting>
  <conditionalFormatting sqref="E166">
    <cfRule type="expression" dxfId="979" priority="48">
      <formula>$A$2="PRINT"</formula>
    </cfRule>
  </conditionalFormatting>
  <conditionalFormatting sqref="E185">
    <cfRule type="expression" dxfId="978" priority="47">
      <formula>$A$2="PRINT"</formula>
    </cfRule>
  </conditionalFormatting>
  <conditionalFormatting sqref="E204">
    <cfRule type="expression" dxfId="977" priority="46">
      <formula>$A$2="PRINT"</formula>
    </cfRule>
  </conditionalFormatting>
  <conditionalFormatting sqref="E223">
    <cfRule type="expression" dxfId="976" priority="45">
      <formula>$A$2="PRINT"</formula>
    </cfRule>
  </conditionalFormatting>
  <conditionalFormatting sqref="E242">
    <cfRule type="expression" dxfId="975" priority="44">
      <formula>$A$2="PRINT"</formula>
    </cfRule>
  </conditionalFormatting>
  <conditionalFormatting sqref="E261">
    <cfRule type="expression" dxfId="974" priority="43">
      <formula>$A$2="PRINT"</formula>
    </cfRule>
  </conditionalFormatting>
  <conditionalFormatting sqref="E280">
    <cfRule type="expression" dxfId="973" priority="42">
      <formula>$A$2="PRINT"</formula>
    </cfRule>
  </conditionalFormatting>
  <conditionalFormatting sqref="E299">
    <cfRule type="expression" dxfId="972" priority="41">
      <formula>$A$2="PRINT"</formula>
    </cfRule>
  </conditionalFormatting>
  <conditionalFormatting sqref="E318">
    <cfRule type="expression" dxfId="971" priority="40">
      <formula>$A$2="PRINT"</formula>
    </cfRule>
  </conditionalFormatting>
  <conditionalFormatting sqref="E337">
    <cfRule type="expression" dxfId="970" priority="39">
      <formula>$A$2="PRINT"</formula>
    </cfRule>
  </conditionalFormatting>
  <conditionalFormatting sqref="E356">
    <cfRule type="expression" dxfId="969" priority="38">
      <formula>$A$2="PRINT"</formula>
    </cfRule>
  </conditionalFormatting>
  <conditionalFormatting sqref="E375">
    <cfRule type="expression" dxfId="968" priority="37">
      <formula>$A$2="PRINT"</formula>
    </cfRule>
  </conditionalFormatting>
  <conditionalFormatting sqref="E394">
    <cfRule type="expression" dxfId="967" priority="36">
      <formula>$A$2="PRINT"</formula>
    </cfRule>
  </conditionalFormatting>
  <conditionalFormatting sqref="E413">
    <cfRule type="expression" dxfId="966" priority="35">
      <formula>$A$2="PRINT"</formula>
    </cfRule>
  </conditionalFormatting>
  <conditionalFormatting sqref="E432">
    <cfRule type="expression" dxfId="965" priority="34">
      <formula>$A$2="PRINT"</formula>
    </cfRule>
  </conditionalFormatting>
  <conditionalFormatting sqref="E451">
    <cfRule type="expression" dxfId="964" priority="33">
      <formula>$A$2="PRINT"</formula>
    </cfRule>
  </conditionalFormatting>
  <conditionalFormatting sqref="E470">
    <cfRule type="expression" dxfId="963" priority="32">
      <formula>$A$2="PRINT"</formula>
    </cfRule>
  </conditionalFormatting>
  <conditionalFormatting sqref="E489">
    <cfRule type="expression" dxfId="962" priority="31">
      <formula>$A$2="PRINT"</formula>
    </cfRule>
  </conditionalFormatting>
  <conditionalFormatting sqref="E508">
    <cfRule type="expression" dxfId="961" priority="30">
      <formula>$A$2="PRINT"</formula>
    </cfRule>
  </conditionalFormatting>
  <conditionalFormatting sqref="E527">
    <cfRule type="expression" dxfId="960" priority="29">
      <formula>$A$2="PRINT"</formula>
    </cfRule>
  </conditionalFormatting>
  <conditionalFormatting sqref="E546">
    <cfRule type="expression" dxfId="959" priority="28">
      <formula>$A$2="PRINT"</formula>
    </cfRule>
  </conditionalFormatting>
  <conditionalFormatting sqref="E565">
    <cfRule type="expression" dxfId="958" priority="27">
      <formula>$A$2="PRINT"</formula>
    </cfRule>
  </conditionalFormatting>
  <conditionalFormatting sqref="E584">
    <cfRule type="expression" dxfId="957" priority="26">
      <formula>$A$2="PRINT"</formula>
    </cfRule>
  </conditionalFormatting>
  <conditionalFormatting sqref="E603">
    <cfRule type="expression" dxfId="956" priority="25">
      <formula>$A$2="PRINT"</formula>
    </cfRule>
  </conditionalFormatting>
  <conditionalFormatting sqref="E622">
    <cfRule type="expression" dxfId="955" priority="24">
      <formula>$A$2="PRINT"</formula>
    </cfRule>
  </conditionalFormatting>
  <conditionalFormatting sqref="E641">
    <cfRule type="expression" dxfId="954" priority="23">
      <formula>$A$2="PRINT"</formula>
    </cfRule>
  </conditionalFormatting>
  <conditionalFormatting sqref="E660">
    <cfRule type="expression" dxfId="953" priority="22">
      <formula>$A$2="PRINT"</formula>
    </cfRule>
  </conditionalFormatting>
  <conditionalFormatting sqref="E679">
    <cfRule type="expression" dxfId="952" priority="21">
      <formula>$A$2="PRINT"</formula>
    </cfRule>
  </conditionalFormatting>
  <conditionalFormatting sqref="E698">
    <cfRule type="expression" dxfId="951" priority="20">
      <formula>$A$2="PRINT"</formula>
    </cfRule>
  </conditionalFormatting>
  <conditionalFormatting sqref="E717">
    <cfRule type="expression" dxfId="950" priority="19">
      <formula>$A$2="PRINT"</formula>
    </cfRule>
  </conditionalFormatting>
  <conditionalFormatting sqref="E736">
    <cfRule type="expression" dxfId="949" priority="18">
      <formula>$A$2="PRINT"</formula>
    </cfRule>
  </conditionalFormatting>
  <conditionalFormatting sqref="E755">
    <cfRule type="expression" dxfId="948" priority="17">
      <formula>$A$2="PRINT"</formula>
    </cfRule>
  </conditionalFormatting>
  <conditionalFormatting sqref="E774">
    <cfRule type="expression" dxfId="947" priority="16">
      <formula>$A$2="PRINT"</formula>
    </cfRule>
  </conditionalFormatting>
  <conditionalFormatting sqref="E793">
    <cfRule type="expression" dxfId="946" priority="15">
      <formula>$A$2="PRINT"</formula>
    </cfRule>
  </conditionalFormatting>
  <conditionalFormatting sqref="E812">
    <cfRule type="expression" dxfId="945" priority="14">
      <formula>$A$2="PRINT"</formula>
    </cfRule>
  </conditionalFormatting>
  <conditionalFormatting sqref="E831">
    <cfRule type="expression" dxfId="944" priority="13">
      <formula>$A$2="PRINT"</formula>
    </cfRule>
  </conditionalFormatting>
  <conditionalFormatting sqref="E850">
    <cfRule type="expression" dxfId="943" priority="12">
      <formula>$A$2="PRINT"</formula>
    </cfRule>
  </conditionalFormatting>
  <conditionalFormatting sqref="E869">
    <cfRule type="expression" dxfId="942" priority="11">
      <formula>$A$2="PRINT"</formula>
    </cfRule>
  </conditionalFormatting>
  <conditionalFormatting sqref="E888">
    <cfRule type="expression" dxfId="941" priority="10">
      <formula>$A$2="PRINT"</formula>
    </cfRule>
  </conditionalFormatting>
  <conditionalFormatting sqref="E907">
    <cfRule type="expression" dxfId="940" priority="9">
      <formula>$A$2="PRINT"</formula>
    </cfRule>
  </conditionalFormatting>
  <conditionalFormatting sqref="E926">
    <cfRule type="expression" dxfId="939" priority="8">
      <formula>$A$2="PRINT"</formula>
    </cfRule>
  </conditionalFormatting>
  <conditionalFormatting sqref="E945">
    <cfRule type="expression" dxfId="938" priority="7">
      <formula>$A$2="PRINT"</formula>
    </cfRule>
  </conditionalFormatting>
  <conditionalFormatting sqref="E964">
    <cfRule type="expression" dxfId="937" priority="6">
      <formula>$A$2="PRINT"</formula>
    </cfRule>
  </conditionalFormatting>
  <conditionalFormatting sqref="E983">
    <cfRule type="expression" dxfId="936" priority="5">
      <formula>$A$2="PRINT"</formula>
    </cfRule>
  </conditionalFormatting>
  <conditionalFormatting sqref="E1002">
    <cfRule type="expression" dxfId="935" priority="4">
      <formula>$A$2="PRINT"</formula>
    </cfRule>
  </conditionalFormatting>
  <conditionalFormatting sqref="B1031 B1033 B1035 B1037 B1039 B1041 B1043 B1045 B1047 B1049:B1050">
    <cfRule type="expression" dxfId="934" priority="3">
      <formula>$A$2="PRINT"</formula>
    </cfRule>
  </conditionalFormatting>
  <conditionalFormatting sqref="B1032 B1034 B1036 B1038 B1040 B1042 B1044 B1046 B1048">
    <cfRule type="expression" dxfId="933" priority="2">
      <formula>$A$2="PRINT"</formula>
    </cfRule>
  </conditionalFormatting>
  <conditionalFormatting sqref="D1027:F1027">
    <cfRule type="expression" dxfId="932" priority="1">
      <formula>$A$2="PRINT"</formula>
    </cfRule>
  </conditionalFormatting>
  <dataValidations count="5">
    <dataValidation type="list" allowBlank="1" showErrorMessage="1" sqref="D1027:F1027" xr:uid="{00000000-0002-0000-1400-000000000000}">
      <formula1>"Click to select number of new other investments,0,1,2,3,4,5,6,7,8,9,10,11,12,13,14,15,16,17,18,19,20"</formula1>
    </dataValidation>
    <dataValidation type="list" allowBlank="1" showErrorMessage="1" sqref="D6:F6" xr:uid="{00000000-0002-0000-14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4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4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400-000004000000}">
      <formula1>"Click to select,Yes,No"</formula1>
    </dataValidation>
  </dataValidations>
  <hyperlinks>
    <hyperlink ref="B10" location="'2.1 Investments_ANSP#1'!B83" tooltip="Go to Project #" display="1" xr:uid="{00000000-0004-0000-1400-000000000000}"/>
    <hyperlink ref="B11" location="'2.1 Investments_ANSP#1'!B102" tooltip="Go to Project #" display="2" xr:uid="{00000000-0004-0000-1400-000001000000}"/>
    <hyperlink ref="B12" location="'2.1 Investments_ANSP#1'!B121" tooltip="Go to Project #" display="3" xr:uid="{00000000-0004-0000-1400-000002000000}"/>
    <hyperlink ref="B13" location="'2.1 Investments_ANSP#1'!B140" tooltip="Go to Project #" display="4" xr:uid="{00000000-0004-0000-1400-000003000000}"/>
    <hyperlink ref="B14" location="'2.1 Investments_ANSP#1'!B159" tooltip="Go to Project #" display="5" xr:uid="{00000000-0004-0000-1400-000004000000}"/>
    <hyperlink ref="B15" location="'2.1 Investments_ANSP#1'!B178" tooltip="Go to Project #" display="6" xr:uid="{00000000-0004-0000-1400-000005000000}"/>
    <hyperlink ref="B16" location="'2.1 Investments_ANSP#1'!B197" tooltip="Go to Project #" display="7" xr:uid="{00000000-0004-0000-1400-000006000000}"/>
    <hyperlink ref="B17" location="'2.1 Investments_ANSP#1'!B216" tooltip="Go to Project #" display="8" xr:uid="{00000000-0004-0000-1400-000007000000}"/>
    <hyperlink ref="B18" location="'2.1 Investments_ANSP#1'!B235" tooltip="Go to Project #" display="9" xr:uid="{00000000-0004-0000-1400-000008000000}"/>
    <hyperlink ref="B19" location="'2.1 Investments_ANSP#1'!B254" tooltip="Go to Project #" display="10" xr:uid="{00000000-0004-0000-1400-000009000000}"/>
    <hyperlink ref="B20" location="'2.1 Investments_ANSP#1'!B273" tooltip="Go to Project #" display="11" xr:uid="{00000000-0004-0000-1400-00000A000000}"/>
    <hyperlink ref="B21" location="'2.1 Investments_ANSP#1'!B292" tooltip="Go to Project #" display="12" xr:uid="{00000000-0004-0000-1400-00000B000000}"/>
    <hyperlink ref="B22" location="'2.1 Investments_ANSP#1'!B311" tooltip="Go to Project #" display="13" xr:uid="{00000000-0004-0000-1400-00000C000000}"/>
    <hyperlink ref="B23" location="'2.1 Investments_ANSP#1'!B330" tooltip="Go to Project #" display="14" xr:uid="{00000000-0004-0000-1400-00000D000000}"/>
    <hyperlink ref="B24" location="'2.1 Investments_ANSP#1'!B349" tooltip="Go to Project #" display="15" xr:uid="{00000000-0004-0000-1400-00000E000000}"/>
    <hyperlink ref="B25" location="'2.1 Investments_ANSP#1'!B368" tooltip="Go to Project #" display="16" xr:uid="{00000000-0004-0000-1400-00000F000000}"/>
    <hyperlink ref="B26" location="'2.1 Investments_ANSP#1'!B387" tooltip="Go to Project #" display="17" xr:uid="{00000000-0004-0000-1400-000010000000}"/>
    <hyperlink ref="B27" location="'2.1 Investments_ANSP#1'!B406" tooltip="Go to Project #" display="18" xr:uid="{00000000-0004-0000-1400-000011000000}"/>
    <hyperlink ref="B28" location="'2.1 Investments_ANSP#1'!B425" tooltip="Go to Project #" display="19" xr:uid="{00000000-0004-0000-1400-000012000000}"/>
    <hyperlink ref="B29" location="'2.1 Investments_ANSP#1'!B444" tooltip="Go to Project #" display="20" xr:uid="{00000000-0004-0000-1400-000013000000}"/>
    <hyperlink ref="B30" location="'2.1 Investments_ANSP#1'!B463" tooltip="Go to Project #" display="21" xr:uid="{00000000-0004-0000-1400-000014000000}"/>
    <hyperlink ref="B31" location="'2.1 Investments_ANSP#1'!B482" tooltip="Go to Project #" display="22" xr:uid="{00000000-0004-0000-1400-000015000000}"/>
    <hyperlink ref="B32" location="'2.1 Investments_ANSP#1'!B501" tooltip="Go to Project #" display="23" xr:uid="{00000000-0004-0000-1400-000016000000}"/>
    <hyperlink ref="B33" location="'2.1 Investments_ANSP#1'!B520" tooltip="Go to Project #" display="24" xr:uid="{00000000-0004-0000-1400-000017000000}"/>
    <hyperlink ref="B34" location="'2.1 Investments_ANSP#1'!B539" tooltip="Go to Project #" display="25" xr:uid="{00000000-0004-0000-1400-000018000000}"/>
    <hyperlink ref="B35" location="'2.1 Investments_ANSP#1'!B558" tooltip="Go to Project #" display="26" xr:uid="{00000000-0004-0000-1400-000019000000}"/>
    <hyperlink ref="B36" location="'2.1 Investments_ANSP#1'!B577" tooltip="Go to Project #" display="27" xr:uid="{00000000-0004-0000-1400-00001A000000}"/>
    <hyperlink ref="B37" location="'2.1 Investments_ANSP#1'!B596" tooltip="Go to Project #" display="28" xr:uid="{00000000-0004-0000-1400-00001B000000}"/>
    <hyperlink ref="B38" location="'2.1 Investments_ANSP#1'!B615" tooltip="Go to Project #" display="29" xr:uid="{00000000-0004-0000-1400-00001C000000}"/>
    <hyperlink ref="B39" location="'2.1 Investments_ANSP#1'!B634" tooltip="Go to Project #" display="30" xr:uid="{00000000-0004-0000-1400-00001D000000}"/>
    <hyperlink ref="B40" location="'2.1 Investments_ANSP#1'!B653" tooltip="Go to Project #" display="31" xr:uid="{00000000-0004-0000-1400-00001E000000}"/>
    <hyperlink ref="B41" location="'2.1 Investments_ANSP#1'!B672" tooltip="Go to Project #" display="32" xr:uid="{00000000-0004-0000-1400-00001F000000}"/>
    <hyperlink ref="B42" location="'2.1 Investments_ANSP#1'!B691" tooltip="Go to Project #" display="33" xr:uid="{00000000-0004-0000-1400-000020000000}"/>
    <hyperlink ref="B43" location="'2.1 Investments_ANSP#1'!B710" tooltip="Go to Project #" display="34" xr:uid="{00000000-0004-0000-1400-000021000000}"/>
    <hyperlink ref="B44" location="'2.1 Investments_ANSP#1'!B729" tooltip="Go to Project #" display="35" xr:uid="{00000000-0004-0000-1400-000022000000}"/>
    <hyperlink ref="B45" location="'2.1 Investments_ANSP#1'!B748" tooltip="Go to Project #" display="36" xr:uid="{00000000-0004-0000-1400-000023000000}"/>
    <hyperlink ref="B46" location="'2.1 Investments_ANSP#1'!B767" tooltip="Go to Project #" display="37" xr:uid="{00000000-0004-0000-1400-000024000000}"/>
    <hyperlink ref="B47" location="'2.1 Investments_ANSP#1'!B786" tooltip="Go to Project #" display="38" xr:uid="{00000000-0004-0000-1400-000025000000}"/>
    <hyperlink ref="B48" location="'2.1 Investments_ANSP#1'!B805" tooltip="Go to Project #" display="39" xr:uid="{00000000-0004-0000-1400-000026000000}"/>
    <hyperlink ref="B49" location="'2.1 Investments_ANSP#1'!B824" tooltip="Go to Project #" display="40" xr:uid="{00000000-0004-0000-1400-000027000000}"/>
    <hyperlink ref="B50" location="'2.1 Investments_ANSP#1'!B843" tooltip="Go to Project #" display="41" xr:uid="{00000000-0004-0000-1400-000028000000}"/>
    <hyperlink ref="B51" location="'2.1 Investments_ANSP#1'!B862" tooltip="Go to Project #" display="42" xr:uid="{00000000-0004-0000-1400-000029000000}"/>
    <hyperlink ref="B52" location="'2.1 Investments_ANSP#1'!B881" tooltip="Go to Project #" display="43" xr:uid="{00000000-0004-0000-1400-00002A000000}"/>
    <hyperlink ref="B53" location="'2.1 Investments_ANSP#1'!B900" tooltip="Go to Project #" display="44" xr:uid="{00000000-0004-0000-1400-00002B000000}"/>
    <hyperlink ref="B54" location="'2.1 Investments_ANSP#1'!B919" tooltip="Go to Project #" display="45" xr:uid="{00000000-0004-0000-1400-00002C000000}"/>
    <hyperlink ref="B55" location="'2.1 Investments_ANSP#1'!B938" tooltip="Go to Project #" display="46" xr:uid="{00000000-0004-0000-1400-00002D000000}"/>
    <hyperlink ref="B56" location="'2.1 Investments_ANSP#1'!B957" tooltip="Go to Project #" display="47" xr:uid="{00000000-0004-0000-1400-00002E000000}"/>
    <hyperlink ref="B57" location="'2.1 Investments_ANSP#1'!B976" tooltip="Go to Project #" display="48" xr:uid="{00000000-0004-0000-1400-00002F000000}"/>
    <hyperlink ref="B58" location="'2.1 Investments_ANSP#1'!B995" tooltip="Go to Project #" display="49" xr:uid="{00000000-0004-0000-1400-000030000000}"/>
    <hyperlink ref="B59" location="'2.1 Investments_ANSP#1'!B1014" tooltip="Go to Project #" display="50" xr:uid="{00000000-0004-0000-1400-000031000000}"/>
    <hyperlink ref="A69" location="'2.1 Investments_ANSP#1'!B4" tooltip="Go to top" display="'2.1 Investments_ANSP#1'!B4" xr:uid="{00000000-0004-0000-1400-000032000000}"/>
    <hyperlink ref="A943" location="'2.1 Investments_ANSP#1'!B4" tooltip="Go to top" display="'2.1 Investments_ANSP#1'!B4" xr:uid="{00000000-0004-0000-1400-000033000000}"/>
    <hyperlink ref="A962" location="'2.1 Investments_ANSP#1'!B4" tooltip="Go to top" display="'2.1 Investments_ANSP#1'!B4" xr:uid="{00000000-0004-0000-1400-000034000000}"/>
    <hyperlink ref="A981" location="'2.1 Investments_ANSP#1'!B4" tooltip="Go to top" display="'2.1 Investments_ANSP#1'!B4" xr:uid="{00000000-0004-0000-1400-000035000000}"/>
    <hyperlink ref="A1000" location="'2.1 Investments_ANSP#1'!B4" tooltip="Go to top" display="'2.1 Investments_ANSP#1'!B4" xr:uid="{00000000-0004-0000-1400-000036000000}"/>
    <hyperlink ref="A88" location="'2.1 Investments_ANSP#1'!B4" tooltip="Go to top" display="'2.1 Investments_ANSP#1'!B4" xr:uid="{00000000-0004-0000-1400-000037000000}"/>
    <hyperlink ref="A107" location="'2.1 Investments_ANSP#1'!B4" tooltip="Go to top" display="'2.1 Investments_ANSP#1'!B4" xr:uid="{00000000-0004-0000-1400-000038000000}"/>
    <hyperlink ref="A126" location="'2.1 Investments_ANSP#1'!B4" tooltip="Go to top" display="'2.1 Investments_ANSP#1'!B4" xr:uid="{00000000-0004-0000-1400-000039000000}"/>
    <hyperlink ref="A145" location="'2.1 Investments_ANSP#1'!B4" tooltip="Go to top" display="'2.1 Investments_ANSP#1'!B4" xr:uid="{00000000-0004-0000-1400-00003A000000}"/>
    <hyperlink ref="A164" location="'2.1 Investments_ANSP#1'!B4" tooltip="Go to top" display="'2.1 Investments_ANSP#1'!B4" xr:uid="{00000000-0004-0000-1400-00003B000000}"/>
    <hyperlink ref="A183" location="'2.1 Investments_ANSP#1'!B4" tooltip="Go to top" display="'2.1 Investments_ANSP#1'!B4" xr:uid="{00000000-0004-0000-1400-00003C000000}"/>
    <hyperlink ref="A202" location="'2.1 Investments_ANSP#1'!B4" tooltip="Go to top" display="'2.1 Investments_ANSP#1'!B4" xr:uid="{00000000-0004-0000-1400-00003D000000}"/>
    <hyperlink ref="A221" location="'2.1 Investments_ANSP#1'!B4" tooltip="Go to top" display="'2.1 Investments_ANSP#1'!B4" xr:uid="{00000000-0004-0000-1400-00003E000000}"/>
    <hyperlink ref="A240" location="'2.1 Investments_ANSP#1'!B4" tooltip="Go to top" display="'2.1 Investments_ANSP#1'!B4" xr:uid="{00000000-0004-0000-1400-00003F000000}"/>
    <hyperlink ref="A259" location="'2.1 Investments_ANSP#1'!B4" tooltip="Go to top" display="'2.1 Investments_ANSP#1'!B4" xr:uid="{00000000-0004-0000-1400-000040000000}"/>
    <hyperlink ref="A278" location="'2.1 Investments_ANSP#1'!B4" tooltip="Go to top" display="'2.1 Investments_ANSP#1'!B4" xr:uid="{00000000-0004-0000-1400-000041000000}"/>
    <hyperlink ref="A297" location="'2.1 Investments_ANSP#1'!B4" tooltip="Go to top" display="'2.1 Investments_ANSP#1'!B4" xr:uid="{00000000-0004-0000-1400-000042000000}"/>
    <hyperlink ref="A316" location="'2.1 Investments_ANSP#1'!B4" tooltip="Go to top" display="'2.1 Investments_ANSP#1'!B4" xr:uid="{00000000-0004-0000-1400-000043000000}"/>
    <hyperlink ref="A335" location="'2.1 Investments_ANSP#1'!B4" tooltip="Go to top" display="'2.1 Investments_ANSP#1'!B4" xr:uid="{00000000-0004-0000-1400-000044000000}"/>
    <hyperlink ref="A354" location="'2.1 Investments_ANSP#1'!B4" tooltip="Go to top" display="'2.1 Investments_ANSP#1'!B4" xr:uid="{00000000-0004-0000-1400-000045000000}"/>
    <hyperlink ref="A373" location="'2.1 Investments_ANSP#1'!B4" tooltip="Go to top" display="'2.1 Investments_ANSP#1'!B4" xr:uid="{00000000-0004-0000-1400-000046000000}"/>
    <hyperlink ref="A392" location="'2.1 Investments_ANSP#1'!B4" tooltip="Go to top" display="'2.1 Investments_ANSP#1'!B4" xr:uid="{00000000-0004-0000-1400-000047000000}"/>
    <hyperlink ref="A411" location="'2.1 Investments_ANSP#1'!B4" tooltip="Go to top" display="'2.1 Investments_ANSP#1'!B4" xr:uid="{00000000-0004-0000-1400-000048000000}"/>
    <hyperlink ref="A430" location="'2.1 Investments_ANSP#1'!B4" tooltip="Go to top" display="'2.1 Investments_ANSP#1'!B4" xr:uid="{00000000-0004-0000-1400-000049000000}"/>
    <hyperlink ref="A449" location="'2.1 Investments_ANSP#1'!B4" tooltip="Go to top" display="'2.1 Investments_ANSP#1'!B4" xr:uid="{00000000-0004-0000-1400-00004A000000}"/>
    <hyperlink ref="A468" location="'2.1 Investments_ANSP#1'!B4" tooltip="Go to top" display="'2.1 Investments_ANSP#1'!B4" xr:uid="{00000000-0004-0000-1400-00004B000000}"/>
    <hyperlink ref="A487" location="'2.1 Investments_ANSP#1'!B4" tooltip="Go to top" display="'2.1 Investments_ANSP#1'!B4" xr:uid="{00000000-0004-0000-1400-00004C000000}"/>
    <hyperlink ref="A506" location="'2.1 Investments_ANSP#1'!B4" tooltip="Go to top" display="'2.1 Investments_ANSP#1'!B4" xr:uid="{00000000-0004-0000-1400-00004D000000}"/>
    <hyperlink ref="A525" location="'2.1 Investments_ANSP#1'!B4" tooltip="Go to top" display="'2.1 Investments_ANSP#1'!B4" xr:uid="{00000000-0004-0000-1400-00004E000000}"/>
    <hyperlink ref="A544" location="'2.1 Investments_ANSP#1'!B4" tooltip="Go to top" display="'2.1 Investments_ANSP#1'!B4" xr:uid="{00000000-0004-0000-1400-00004F000000}"/>
    <hyperlink ref="A563" location="'2.1 Investments_ANSP#1'!B4" tooltip="Go to top" display="'2.1 Investments_ANSP#1'!B4" xr:uid="{00000000-0004-0000-1400-000050000000}"/>
    <hyperlink ref="A582" location="'2.1 Investments_ANSP#1'!B4" tooltip="Go to top" display="'2.1 Investments_ANSP#1'!B4" xr:uid="{00000000-0004-0000-1400-000051000000}"/>
    <hyperlink ref="A601" location="'2.1 Investments_ANSP#1'!B4" tooltip="Go to top" display="'2.1 Investments_ANSP#1'!B4" xr:uid="{00000000-0004-0000-1400-000052000000}"/>
    <hyperlink ref="A620" location="'2.1 Investments_ANSP#1'!B4" tooltip="Go to top" display="'2.1 Investments_ANSP#1'!B4" xr:uid="{00000000-0004-0000-1400-000053000000}"/>
    <hyperlink ref="A639" location="'2.1 Investments_ANSP#1'!B4" tooltip="Go to top" display="'2.1 Investments_ANSP#1'!B4" xr:uid="{00000000-0004-0000-1400-000054000000}"/>
    <hyperlink ref="A658" location="'2.1 Investments_ANSP#1'!B4" tooltip="Go to top" display="'2.1 Investments_ANSP#1'!B4" xr:uid="{00000000-0004-0000-1400-000055000000}"/>
    <hyperlink ref="A677" location="'2.1 Investments_ANSP#1'!B4" tooltip="Go to top" display="'2.1 Investments_ANSP#1'!B4" xr:uid="{00000000-0004-0000-1400-000056000000}"/>
    <hyperlink ref="A696" location="'2.1 Investments_ANSP#1'!B4" tooltip="Go to top" display="'2.1 Investments_ANSP#1'!B4" xr:uid="{00000000-0004-0000-1400-000057000000}"/>
    <hyperlink ref="A715" location="'2.1 Investments_ANSP#1'!B4" tooltip="Go to top" display="'2.1 Investments_ANSP#1'!B4" xr:uid="{00000000-0004-0000-1400-000058000000}"/>
    <hyperlink ref="A734" location="'2.1 Investments_ANSP#1'!B4" tooltip="Go to top" display="'2.1 Investments_ANSP#1'!B4" xr:uid="{00000000-0004-0000-1400-000059000000}"/>
    <hyperlink ref="A753" location="'2.1 Investments_ANSP#1'!B4" tooltip="Go to top" display="'2.1 Investments_ANSP#1'!B4" xr:uid="{00000000-0004-0000-1400-00005A000000}"/>
    <hyperlink ref="A772" location="'2.1 Investments_ANSP#1'!B4" tooltip="Go to top" display="'2.1 Investments_ANSP#1'!B4" xr:uid="{00000000-0004-0000-1400-00005B000000}"/>
    <hyperlink ref="A791" location="'2.1 Investments_ANSP#1'!B4" tooltip="Go to top" display="'2.1 Investments_ANSP#1'!B4" xr:uid="{00000000-0004-0000-1400-00005C000000}"/>
    <hyperlink ref="A810" location="'2.1 Investments_ANSP#1'!B4" tooltip="Go to top" display="'2.1 Investments_ANSP#1'!B4" xr:uid="{00000000-0004-0000-1400-00005D000000}"/>
    <hyperlink ref="A829" location="'2.1 Investments_ANSP#1'!B4" tooltip="Go to top" display="'2.1 Investments_ANSP#1'!B4" xr:uid="{00000000-0004-0000-1400-00005E000000}"/>
    <hyperlink ref="A848" location="'2.1 Investments_ANSP#1'!B4" tooltip="Go to top" display="'2.1 Investments_ANSP#1'!B4" xr:uid="{00000000-0004-0000-1400-00005F000000}"/>
    <hyperlink ref="A867" location="'2.1 Investments_ANSP#1'!B4" tooltip="Go to top" display="'2.1 Investments_ANSP#1'!B4" xr:uid="{00000000-0004-0000-1400-000060000000}"/>
    <hyperlink ref="A886" location="'2.1 Investments_ANSP#1'!B4" tooltip="Go to top" display="'2.1 Investments_ANSP#1'!B4" xr:uid="{00000000-0004-0000-1400-000061000000}"/>
    <hyperlink ref="A905" location="'2.1 Investments_ANSP#1'!B4" tooltip="Go to top" display="'2.1 Investments_ANSP#1'!B4" xr:uid="{00000000-0004-0000-1400-000062000000}"/>
    <hyperlink ref="A924" location="'2.1 Investments_ANSP#1'!B4" tooltip="Go to top" display="'2.1 Investments_ANSP#1'!B4" xr:uid="{00000000-0004-0000-14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1">
    <tabColor theme="2" tint="-0.249977111117893"/>
    <pageSetUpPr fitToPage="1"/>
  </sheetPr>
  <dimension ref="A1:Q1052"/>
  <sheetViews>
    <sheetView showGridLines="0" zoomScaleNormal="100" workbookViewId="0">
      <selection activeCell="B2" sqref="B2"/>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"2.9 - Investments - "&amp;'1.1 The situation'!$B$21</f>
        <v xml:space="preserve">2.9 - Investments - </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1035</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t="s">
        <v>1378</v>
      </c>
      <c r="E6" s="850"/>
      <c r="F6" s="850"/>
      <c r="G6" s="144"/>
    </row>
    <row r="7" spans="1:17" ht="15" customHeight="1">
      <c r="B7" s="132"/>
      <c r="C7" s="132"/>
      <c r="D7" s="132"/>
      <c r="E7" s="132"/>
      <c r="F7" s="132"/>
    </row>
    <row r="8" spans="1:17" ht="30" customHeight="1">
      <c r="B8" s="673" t="s">
        <v>361</v>
      </c>
      <c r="C8" s="673" t="s">
        <v>324</v>
      </c>
      <c r="D8" s="673" t="s">
        <v>316</v>
      </c>
      <c r="E8" s="673" t="s">
        <v>993</v>
      </c>
      <c r="F8" s="673" t="s">
        <v>317</v>
      </c>
      <c r="G8" s="673"/>
      <c r="H8" s="673"/>
      <c r="I8" s="673"/>
      <c r="J8" s="673"/>
      <c r="K8" s="673" t="s">
        <v>40</v>
      </c>
      <c r="L8" s="673" t="s">
        <v>362</v>
      </c>
      <c r="M8" s="674"/>
      <c r="N8" s="673" t="s">
        <v>358</v>
      </c>
      <c r="O8" s="144"/>
      <c r="Q8" s="43"/>
    </row>
    <row r="9" spans="1:17" ht="29.25" customHeight="1">
      <c r="B9" s="673" t="s">
        <v>361</v>
      </c>
      <c r="C9" s="673"/>
      <c r="D9" s="673"/>
      <c r="E9" s="833"/>
      <c r="F9" s="198">
        <v>2020</v>
      </c>
      <c r="G9" s="198">
        <v>2021</v>
      </c>
      <c r="H9" s="198">
        <v>2022</v>
      </c>
      <c r="I9" s="198">
        <v>2023</v>
      </c>
      <c r="J9" s="198">
        <v>2024</v>
      </c>
      <c r="K9" s="673"/>
      <c r="L9" s="136" t="s">
        <v>303</v>
      </c>
      <c r="M9" s="136" t="s">
        <v>264</v>
      </c>
      <c r="N9" s="673"/>
      <c r="O9" s="144"/>
    </row>
    <row r="10" spans="1:17" hidden="1">
      <c r="A10" s="216"/>
      <c r="B10" s="217">
        <v>1</v>
      </c>
      <c r="C10" s="218"/>
      <c r="D10" s="205"/>
      <c r="E10" s="205"/>
      <c r="F10" s="205"/>
      <c r="G10" s="205"/>
      <c r="H10" s="205"/>
      <c r="I10" s="205"/>
      <c r="J10" s="205"/>
      <c r="K10" s="205"/>
      <c r="L10" s="219"/>
      <c r="M10" s="219"/>
      <c r="N10" s="220"/>
      <c r="O10" s="144"/>
    </row>
    <row r="11" spans="1:17" hidden="1">
      <c r="A11" s="216"/>
      <c r="B11" s="217">
        <v>2</v>
      </c>
      <c r="C11" s="218"/>
      <c r="D11" s="205"/>
      <c r="E11" s="205"/>
      <c r="F11" s="205"/>
      <c r="G11" s="205"/>
      <c r="H11" s="205"/>
      <c r="I11" s="205"/>
      <c r="J11" s="205"/>
      <c r="K11" s="205"/>
      <c r="L11" s="219"/>
      <c r="M11" s="219"/>
      <c r="N11" s="220"/>
      <c r="O11" s="144"/>
    </row>
    <row r="12" spans="1:17" hidden="1">
      <c r="A12" s="216"/>
      <c r="B12" s="217">
        <v>3</v>
      </c>
      <c r="C12" s="218"/>
      <c r="D12" s="205"/>
      <c r="E12" s="205"/>
      <c r="F12" s="205"/>
      <c r="G12" s="205"/>
      <c r="H12" s="205"/>
      <c r="I12" s="205"/>
      <c r="J12" s="205"/>
      <c r="K12" s="205"/>
      <c r="L12" s="219"/>
      <c r="M12" s="219"/>
      <c r="N12" s="220"/>
      <c r="O12" s="144"/>
    </row>
    <row r="13" spans="1:17" hidden="1">
      <c r="A13" s="216"/>
      <c r="B13" s="217">
        <v>4</v>
      </c>
      <c r="C13" s="218"/>
      <c r="D13" s="205"/>
      <c r="E13" s="205"/>
      <c r="F13" s="205"/>
      <c r="G13" s="205"/>
      <c r="H13" s="205"/>
      <c r="I13" s="205"/>
      <c r="J13" s="205"/>
      <c r="K13" s="205"/>
      <c r="L13" s="219"/>
      <c r="M13" s="219"/>
      <c r="N13" s="220"/>
      <c r="O13" s="144"/>
    </row>
    <row r="14" spans="1:17" hidden="1">
      <c r="A14" s="216"/>
      <c r="B14" s="217">
        <v>5</v>
      </c>
      <c r="C14" s="218"/>
      <c r="D14" s="205"/>
      <c r="E14" s="205"/>
      <c r="F14" s="205"/>
      <c r="G14" s="205"/>
      <c r="H14" s="205"/>
      <c r="I14" s="205"/>
      <c r="J14" s="205"/>
      <c r="K14" s="205"/>
      <c r="L14" s="219"/>
      <c r="M14" s="219"/>
      <c r="N14" s="220"/>
      <c r="O14" s="144"/>
    </row>
    <row r="15" spans="1:17" hidden="1">
      <c r="A15" s="216"/>
      <c r="B15" s="217">
        <v>6</v>
      </c>
      <c r="C15" s="218"/>
      <c r="D15" s="205"/>
      <c r="E15" s="205"/>
      <c r="F15" s="205"/>
      <c r="G15" s="205"/>
      <c r="H15" s="205"/>
      <c r="I15" s="205"/>
      <c r="J15" s="205"/>
      <c r="K15" s="205"/>
      <c r="L15" s="219"/>
      <c r="M15" s="219"/>
      <c r="N15" s="220"/>
      <c r="O15" s="144"/>
    </row>
    <row r="16" spans="1:17" hidden="1">
      <c r="A16" s="216"/>
      <c r="B16" s="217">
        <v>7</v>
      </c>
      <c r="C16" s="218"/>
      <c r="D16" s="205"/>
      <c r="E16" s="205"/>
      <c r="F16" s="205"/>
      <c r="G16" s="205"/>
      <c r="H16" s="205"/>
      <c r="I16" s="205"/>
      <c r="J16" s="205"/>
      <c r="K16" s="205"/>
      <c r="L16" s="219"/>
      <c r="M16" s="219"/>
      <c r="N16" s="220"/>
      <c r="O16" s="144"/>
    </row>
    <row r="17" spans="1:15" hidden="1">
      <c r="A17" s="216"/>
      <c r="B17" s="217">
        <v>8</v>
      </c>
      <c r="C17" s="218"/>
      <c r="D17" s="205"/>
      <c r="E17" s="205"/>
      <c r="F17" s="205"/>
      <c r="G17" s="205"/>
      <c r="H17" s="205"/>
      <c r="I17" s="205"/>
      <c r="J17" s="205"/>
      <c r="K17" s="205"/>
      <c r="L17" s="219"/>
      <c r="M17" s="219"/>
      <c r="N17" s="220"/>
      <c r="O17" s="144"/>
    </row>
    <row r="18" spans="1:15" ht="15" hidden="1" customHeight="1">
      <c r="A18" s="216"/>
      <c r="B18" s="217">
        <v>9</v>
      </c>
      <c r="C18" s="218"/>
      <c r="D18" s="205"/>
      <c r="E18" s="205"/>
      <c r="F18" s="205"/>
      <c r="G18" s="205"/>
      <c r="H18" s="205"/>
      <c r="I18" s="205"/>
      <c r="J18" s="205"/>
      <c r="K18" s="205"/>
      <c r="L18" s="219"/>
      <c r="M18" s="219"/>
      <c r="N18" s="220"/>
      <c r="O18" s="144"/>
    </row>
    <row r="19" spans="1:15" ht="15" hidden="1" customHeight="1">
      <c r="A19" s="216"/>
      <c r="B19" s="217">
        <v>10</v>
      </c>
      <c r="C19" s="218"/>
      <c r="D19" s="205"/>
      <c r="E19" s="205"/>
      <c r="F19" s="205"/>
      <c r="G19" s="205"/>
      <c r="H19" s="205"/>
      <c r="I19" s="205"/>
      <c r="J19" s="205"/>
      <c r="K19" s="205"/>
      <c r="L19" s="219"/>
      <c r="M19" s="219"/>
      <c r="N19" s="220"/>
      <c r="O19" s="144"/>
    </row>
    <row r="20" spans="1:15" hidden="1">
      <c r="A20" s="216"/>
      <c r="B20" s="217">
        <v>11</v>
      </c>
      <c r="C20" s="218"/>
      <c r="D20" s="205"/>
      <c r="E20" s="205"/>
      <c r="F20" s="205"/>
      <c r="G20" s="205"/>
      <c r="H20" s="205"/>
      <c r="I20" s="205"/>
      <c r="J20" s="205"/>
      <c r="K20" s="205"/>
      <c r="L20" s="219"/>
      <c r="M20" s="219"/>
      <c r="N20" s="220"/>
      <c r="O20" s="144"/>
    </row>
    <row r="21" spans="1:15" ht="15" hidden="1" customHeight="1">
      <c r="A21" s="216"/>
      <c r="B21" s="217">
        <v>12</v>
      </c>
      <c r="C21" s="218"/>
      <c r="D21" s="205"/>
      <c r="E21" s="205"/>
      <c r="F21" s="205"/>
      <c r="G21" s="205"/>
      <c r="H21" s="205"/>
      <c r="I21" s="205"/>
      <c r="J21" s="205"/>
      <c r="K21" s="205"/>
      <c r="L21" s="219"/>
      <c r="M21" s="219"/>
      <c r="N21" s="220"/>
      <c r="O21" s="144"/>
    </row>
    <row r="22" spans="1:15" hidden="1">
      <c r="A22" s="216"/>
      <c r="B22" s="217">
        <v>13</v>
      </c>
      <c r="C22" s="218"/>
      <c r="D22" s="205"/>
      <c r="E22" s="205"/>
      <c r="F22" s="205"/>
      <c r="G22" s="205"/>
      <c r="H22" s="205"/>
      <c r="I22" s="205"/>
      <c r="J22" s="205"/>
      <c r="K22" s="205"/>
      <c r="L22" s="219"/>
      <c r="M22" s="219"/>
      <c r="N22" s="220"/>
      <c r="O22" s="144"/>
    </row>
    <row r="23" spans="1:15" hidden="1">
      <c r="A23" s="216"/>
      <c r="B23" s="217">
        <v>14</v>
      </c>
      <c r="C23" s="218"/>
      <c r="D23" s="205"/>
      <c r="E23" s="205"/>
      <c r="F23" s="205"/>
      <c r="G23" s="205"/>
      <c r="H23" s="205"/>
      <c r="I23" s="205"/>
      <c r="J23" s="205"/>
      <c r="K23" s="205"/>
      <c r="L23" s="219"/>
      <c r="M23" s="219"/>
      <c r="N23" s="220"/>
      <c r="O23" s="144"/>
    </row>
    <row r="24" spans="1:15" hidden="1">
      <c r="A24" s="216"/>
      <c r="B24" s="217">
        <v>15</v>
      </c>
      <c r="C24" s="218"/>
      <c r="D24" s="205"/>
      <c r="E24" s="205"/>
      <c r="F24" s="205"/>
      <c r="G24" s="205"/>
      <c r="H24" s="205"/>
      <c r="I24" s="205"/>
      <c r="J24" s="205"/>
      <c r="K24" s="205"/>
      <c r="L24" s="219"/>
      <c r="M24" s="219"/>
      <c r="N24" s="220"/>
      <c r="O24" s="144"/>
    </row>
    <row r="25" spans="1:15" hidden="1">
      <c r="A25" s="216"/>
      <c r="B25" s="217">
        <v>16</v>
      </c>
      <c r="C25" s="218"/>
      <c r="D25" s="205"/>
      <c r="E25" s="205"/>
      <c r="F25" s="205"/>
      <c r="G25" s="205"/>
      <c r="H25" s="205"/>
      <c r="I25" s="205"/>
      <c r="J25" s="205"/>
      <c r="K25" s="205"/>
      <c r="L25" s="219"/>
      <c r="M25" s="219"/>
      <c r="N25" s="220"/>
      <c r="O25" s="144"/>
    </row>
    <row r="26" spans="1:15" hidden="1">
      <c r="A26" s="216"/>
      <c r="B26" s="217">
        <v>17</v>
      </c>
      <c r="C26" s="218"/>
      <c r="D26" s="205"/>
      <c r="E26" s="205"/>
      <c r="F26" s="205"/>
      <c r="G26" s="205"/>
      <c r="H26" s="205"/>
      <c r="I26" s="205"/>
      <c r="J26" s="205"/>
      <c r="K26" s="205"/>
      <c r="L26" s="219"/>
      <c r="M26" s="219"/>
      <c r="N26" s="220"/>
      <c r="O26" s="144"/>
    </row>
    <row r="27" spans="1:15" hidden="1">
      <c r="A27" s="216"/>
      <c r="B27" s="217">
        <v>18</v>
      </c>
      <c r="C27" s="218"/>
      <c r="D27" s="205"/>
      <c r="E27" s="205"/>
      <c r="F27" s="205"/>
      <c r="G27" s="205"/>
      <c r="H27" s="205"/>
      <c r="I27" s="205"/>
      <c r="J27" s="205"/>
      <c r="K27" s="205"/>
      <c r="L27" s="219"/>
      <c r="M27" s="219"/>
      <c r="N27" s="220"/>
      <c r="O27" s="144"/>
    </row>
    <row r="28" spans="1:15" hidden="1">
      <c r="A28" s="216"/>
      <c r="B28" s="217">
        <v>19</v>
      </c>
      <c r="C28" s="218"/>
      <c r="D28" s="205"/>
      <c r="E28" s="205"/>
      <c r="F28" s="205"/>
      <c r="G28" s="205"/>
      <c r="H28" s="205"/>
      <c r="I28" s="205"/>
      <c r="J28" s="205"/>
      <c r="K28" s="205"/>
      <c r="L28" s="219"/>
      <c r="M28" s="219"/>
      <c r="N28" s="220"/>
      <c r="O28" s="144"/>
    </row>
    <row r="29" spans="1:15" hidden="1">
      <c r="A29" s="216"/>
      <c r="B29" s="217">
        <v>20</v>
      </c>
      <c r="C29" s="218"/>
      <c r="D29" s="205"/>
      <c r="E29" s="205"/>
      <c r="F29" s="205"/>
      <c r="G29" s="205"/>
      <c r="H29" s="205"/>
      <c r="I29" s="205"/>
      <c r="J29" s="205"/>
      <c r="K29" s="205"/>
      <c r="L29" s="219"/>
      <c r="M29" s="219"/>
      <c r="N29" s="220"/>
      <c r="O29" s="144"/>
    </row>
    <row r="30" spans="1:15" hidden="1">
      <c r="A30" s="216"/>
      <c r="B30" s="217">
        <v>21</v>
      </c>
      <c r="C30" s="218"/>
      <c r="D30" s="205"/>
      <c r="E30" s="205"/>
      <c r="F30" s="205"/>
      <c r="G30" s="205"/>
      <c r="H30" s="205"/>
      <c r="I30" s="205"/>
      <c r="J30" s="205"/>
      <c r="K30" s="205"/>
      <c r="L30" s="219"/>
      <c r="M30" s="219"/>
      <c r="N30" s="220"/>
      <c r="O30" s="144"/>
    </row>
    <row r="31" spans="1:15" hidden="1">
      <c r="A31" s="216"/>
      <c r="B31" s="217">
        <v>22</v>
      </c>
      <c r="C31" s="218"/>
      <c r="D31" s="205"/>
      <c r="E31" s="205"/>
      <c r="F31" s="205"/>
      <c r="G31" s="205"/>
      <c r="H31" s="205"/>
      <c r="I31" s="205"/>
      <c r="J31" s="205"/>
      <c r="K31" s="205"/>
      <c r="L31" s="219"/>
      <c r="M31" s="219"/>
      <c r="N31" s="220"/>
      <c r="O31" s="144"/>
    </row>
    <row r="32" spans="1:15" hidden="1">
      <c r="A32" s="216"/>
      <c r="B32" s="217">
        <v>23</v>
      </c>
      <c r="C32" s="218"/>
      <c r="D32" s="205"/>
      <c r="E32" s="205"/>
      <c r="F32" s="205"/>
      <c r="G32" s="205"/>
      <c r="H32" s="205"/>
      <c r="I32" s="205"/>
      <c r="J32" s="205"/>
      <c r="K32" s="205"/>
      <c r="L32" s="219"/>
      <c r="M32" s="219"/>
      <c r="N32" s="220"/>
      <c r="O32" s="144"/>
    </row>
    <row r="33" spans="1:15" hidden="1">
      <c r="A33" s="216"/>
      <c r="B33" s="217">
        <v>24</v>
      </c>
      <c r="C33" s="218"/>
      <c r="D33" s="205"/>
      <c r="E33" s="205"/>
      <c r="F33" s="205"/>
      <c r="G33" s="205"/>
      <c r="H33" s="205"/>
      <c r="I33" s="205"/>
      <c r="J33" s="205"/>
      <c r="K33" s="205"/>
      <c r="L33" s="219"/>
      <c r="M33" s="219"/>
      <c r="N33" s="220"/>
      <c r="O33" s="144"/>
    </row>
    <row r="34" spans="1:15" hidden="1">
      <c r="A34" s="216"/>
      <c r="B34" s="217">
        <v>25</v>
      </c>
      <c r="C34" s="218"/>
      <c r="D34" s="205"/>
      <c r="E34" s="205"/>
      <c r="F34" s="205"/>
      <c r="G34" s="205"/>
      <c r="H34" s="205"/>
      <c r="I34" s="205"/>
      <c r="J34" s="205"/>
      <c r="K34" s="205"/>
      <c r="L34" s="219"/>
      <c r="M34" s="219"/>
      <c r="N34" s="220"/>
      <c r="O34" s="144"/>
    </row>
    <row r="35" spans="1:15" hidden="1">
      <c r="A35" s="216"/>
      <c r="B35" s="217">
        <v>26</v>
      </c>
      <c r="C35" s="218"/>
      <c r="D35" s="205"/>
      <c r="E35" s="205"/>
      <c r="F35" s="205"/>
      <c r="G35" s="205"/>
      <c r="H35" s="205"/>
      <c r="I35" s="205"/>
      <c r="J35" s="205"/>
      <c r="K35" s="205"/>
      <c r="L35" s="219"/>
      <c r="M35" s="219"/>
      <c r="N35" s="220"/>
      <c r="O35" s="144"/>
    </row>
    <row r="36" spans="1:15" hidden="1">
      <c r="A36" s="216"/>
      <c r="B36" s="217">
        <v>27</v>
      </c>
      <c r="C36" s="218"/>
      <c r="D36" s="205"/>
      <c r="E36" s="205"/>
      <c r="F36" s="205"/>
      <c r="G36" s="205"/>
      <c r="H36" s="205"/>
      <c r="I36" s="205"/>
      <c r="J36" s="205"/>
      <c r="K36" s="205"/>
      <c r="L36" s="219"/>
      <c r="M36" s="219"/>
      <c r="N36" s="220"/>
      <c r="O36" s="144"/>
    </row>
    <row r="37" spans="1:15" hidden="1">
      <c r="A37" s="216"/>
      <c r="B37" s="217">
        <v>28</v>
      </c>
      <c r="C37" s="218"/>
      <c r="D37" s="205"/>
      <c r="E37" s="205"/>
      <c r="F37" s="205"/>
      <c r="G37" s="205"/>
      <c r="H37" s="205"/>
      <c r="I37" s="205"/>
      <c r="J37" s="205"/>
      <c r="K37" s="205"/>
      <c r="L37" s="219"/>
      <c r="M37" s="219"/>
      <c r="N37" s="220"/>
      <c r="O37" s="144"/>
    </row>
    <row r="38" spans="1:15" hidden="1">
      <c r="A38" s="216"/>
      <c r="B38" s="217">
        <v>29</v>
      </c>
      <c r="C38" s="218"/>
      <c r="D38" s="205"/>
      <c r="E38" s="205"/>
      <c r="F38" s="205"/>
      <c r="G38" s="205"/>
      <c r="H38" s="205"/>
      <c r="I38" s="205"/>
      <c r="J38" s="205"/>
      <c r="K38" s="205"/>
      <c r="L38" s="219"/>
      <c r="M38" s="219"/>
      <c r="N38" s="220"/>
      <c r="O38" s="144"/>
    </row>
    <row r="39" spans="1:15" hidden="1">
      <c r="A39" s="216"/>
      <c r="B39" s="217">
        <v>30</v>
      </c>
      <c r="C39" s="218"/>
      <c r="D39" s="205"/>
      <c r="E39" s="205"/>
      <c r="F39" s="205"/>
      <c r="G39" s="205"/>
      <c r="H39" s="205"/>
      <c r="I39" s="205"/>
      <c r="J39" s="205"/>
      <c r="K39" s="205"/>
      <c r="L39" s="219"/>
      <c r="M39" s="219"/>
      <c r="N39" s="220"/>
      <c r="O39" s="144"/>
    </row>
    <row r="40" spans="1:15" hidden="1">
      <c r="A40" s="216"/>
      <c r="B40" s="217">
        <v>31</v>
      </c>
      <c r="C40" s="218"/>
      <c r="D40" s="205"/>
      <c r="E40" s="205"/>
      <c r="F40" s="205"/>
      <c r="G40" s="205"/>
      <c r="H40" s="205"/>
      <c r="I40" s="205"/>
      <c r="J40" s="205"/>
      <c r="K40" s="205"/>
      <c r="L40" s="219"/>
      <c r="M40" s="219"/>
      <c r="N40" s="220"/>
      <c r="O40" s="144"/>
    </row>
    <row r="41" spans="1:15" hidden="1">
      <c r="A41" s="216"/>
      <c r="B41" s="217">
        <v>32</v>
      </c>
      <c r="C41" s="218"/>
      <c r="D41" s="205"/>
      <c r="E41" s="205"/>
      <c r="F41" s="205"/>
      <c r="G41" s="205"/>
      <c r="H41" s="205"/>
      <c r="I41" s="205"/>
      <c r="J41" s="205"/>
      <c r="K41" s="205"/>
      <c r="L41" s="219"/>
      <c r="M41" s="219"/>
      <c r="N41" s="220"/>
      <c r="O41" s="144"/>
    </row>
    <row r="42" spans="1:15" hidden="1">
      <c r="A42" s="216"/>
      <c r="B42" s="217">
        <v>33</v>
      </c>
      <c r="C42" s="218"/>
      <c r="D42" s="205"/>
      <c r="E42" s="205"/>
      <c r="F42" s="205"/>
      <c r="G42" s="205"/>
      <c r="H42" s="205"/>
      <c r="I42" s="205"/>
      <c r="J42" s="205"/>
      <c r="K42" s="205"/>
      <c r="L42" s="219"/>
      <c r="M42" s="219"/>
      <c r="N42" s="220"/>
      <c r="O42" s="144"/>
    </row>
    <row r="43" spans="1:15" hidden="1">
      <c r="A43" s="216"/>
      <c r="B43" s="217">
        <v>34</v>
      </c>
      <c r="C43" s="218"/>
      <c r="D43" s="205"/>
      <c r="E43" s="205"/>
      <c r="F43" s="205"/>
      <c r="G43" s="205"/>
      <c r="H43" s="205"/>
      <c r="I43" s="205"/>
      <c r="J43" s="205"/>
      <c r="K43" s="205"/>
      <c r="L43" s="219"/>
      <c r="M43" s="219"/>
      <c r="N43" s="220"/>
      <c r="O43" s="144"/>
    </row>
    <row r="44" spans="1:15" hidden="1">
      <c r="A44" s="216"/>
      <c r="B44" s="217">
        <v>35</v>
      </c>
      <c r="C44" s="218"/>
      <c r="D44" s="205"/>
      <c r="E44" s="205"/>
      <c r="F44" s="205"/>
      <c r="G44" s="205"/>
      <c r="H44" s="205"/>
      <c r="I44" s="205"/>
      <c r="J44" s="205"/>
      <c r="K44" s="205"/>
      <c r="L44" s="219"/>
      <c r="M44" s="219"/>
      <c r="N44" s="220"/>
      <c r="O44" s="144"/>
    </row>
    <row r="45" spans="1:15" hidden="1">
      <c r="A45" s="216"/>
      <c r="B45" s="217">
        <v>36</v>
      </c>
      <c r="C45" s="218"/>
      <c r="D45" s="205"/>
      <c r="E45" s="205"/>
      <c r="F45" s="205"/>
      <c r="G45" s="205"/>
      <c r="H45" s="205"/>
      <c r="I45" s="205"/>
      <c r="J45" s="205"/>
      <c r="K45" s="205"/>
      <c r="L45" s="219"/>
      <c r="M45" s="219"/>
      <c r="N45" s="220"/>
      <c r="O45" s="144"/>
    </row>
    <row r="46" spans="1:15" hidden="1">
      <c r="A46" s="216"/>
      <c r="B46" s="217">
        <v>37</v>
      </c>
      <c r="C46" s="218"/>
      <c r="D46" s="205"/>
      <c r="E46" s="205"/>
      <c r="F46" s="205"/>
      <c r="G46" s="205"/>
      <c r="H46" s="205"/>
      <c r="I46" s="205"/>
      <c r="J46" s="205"/>
      <c r="K46" s="205"/>
      <c r="L46" s="219"/>
      <c r="M46" s="219"/>
      <c r="N46" s="220"/>
      <c r="O46" s="144"/>
    </row>
    <row r="47" spans="1:15" hidden="1">
      <c r="A47" s="216"/>
      <c r="B47" s="217">
        <v>38</v>
      </c>
      <c r="C47" s="218"/>
      <c r="D47" s="205"/>
      <c r="E47" s="205"/>
      <c r="F47" s="205"/>
      <c r="G47" s="205"/>
      <c r="H47" s="205"/>
      <c r="I47" s="205"/>
      <c r="J47" s="205"/>
      <c r="K47" s="205"/>
      <c r="L47" s="219"/>
      <c r="M47" s="219"/>
      <c r="N47" s="220"/>
      <c r="O47" s="144"/>
    </row>
    <row r="48" spans="1:15" hidden="1">
      <c r="A48" s="216"/>
      <c r="B48" s="217">
        <v>39</v>
      </c>
      <c r="C48" s="218"/>
      <c r="D48" s="205"/>
      <c r="E48" s="205"/>
      <c r="F48" s="205"/>
      <c r="G48" s="205"/>
      <c r="H48" s="205"/>
      <c r="I48" s="205"/>
      <c r="J48" s="205"/>
      <c r="K48" s="205"/>
      <c r="L48" s="219"/>
      <c r="M48" s="219"/>
      <c r="N48" s="220"/>
      <c r="O48" s="144"/>
    </row>
    <row r="49" spans="1:15" hidden="1">
      <c r="A49" s="216"/>
      <c r="B49" s="217">
        <v>40</v>
      </c>
      <c r="C49" s="218"/>
      <c r="D49" s="205"/>
      <c r="E49" s="205"/>
      <c r="F49" s="205"/>
      <c r="G49" s="205"/>
      <c r="H49" s="205"/>
      <c r="I49" s="205"/>
      <c r="J49" s="205"/>
      <c r="K49" s="205"/>
      <c r="L49" s="219"/>
      <c r="M49" s="219"/>
      <c r="N49" s="220"/>
      <c r="O49" s="144"/>
    </row>
    <row r="50" spans="1:15" hidden="1">
      <c r="A50" s="216"/>
      <c r="B50" s="217">
        <v>41</v>
      </c>
      <c r="C50" s="218"/>
      <c r="D50" s="205"/>
      <c r="E50" s="205"/>
      <c r="F50" s="205"/>
      <c r="G50" s="205"/>
      <c r="H50" s="205"/>
      <c r="I50" s="205"/>
      <c r="J50" s="205"/>
      <c r="K50" s="205"/>
      <c r="L50" s="219"/>
      <c r="M50" s="219"/>
      <c r="N50" s="220"/>
      <c r="O50" s="144"/>
    </row>
    <row r="51" spans="1:15" hidden="1">
      <c r="A51" s="216"/>
      <c r="B51" s="217">
        <v>42</v>
      </c>
      <c r="C51" s="218"/>
      <c r="D51" s="205"/>
      <c r="E51" s="205"/>
      <c r="F51" s="205"/>
      <c r="G51" s="205"/>
      <c r="H51" s="205"/>
      <c r="I51" s="205"/>
      <c r="J51" s="205"/>
      <c r="K51" s="205"/>
      <c r="L51" s="219"/>
      <c r="M51" s="219"/>
      <c r="N51" s="220"/>
      <c r="O51" s="144"/>
    </row>
    <row r="52" spans="1:15" hidden="1">
      <c r="A52" s="216"/>
      <c r="B52" s="217">
        <v>43</v>
      </c>
      <c r="C52" s="218"/>
      <c r="D52" s="205"/>
      <c r="E52" s="205"/>
      <c r="F52" s="205"/>
      <c r="G52" s="205"/>
      <c r="H52" s="205"/>
      <c r="I52" s="205"/>
      <c r="J52" s="205"/>
      <c r="K52" s="205"/>
      <c r="L52" s="219"/>
      <c r="M52" s="219"/>
      <c r="N52" s="220"/>
      <c r="O52" s="144"/>
    </row>
    <row r="53" spans="1:15" hidden="1">
      <c r="A53" s="216"/>
      <c r="B53" s="217">
        <v>44</v>
      </c>
      <c r="C53" s="218"/>
      <c r="D53" s="205"/>
      <c r="E53" s="205"/>
      <c r="F53" s="205"/>
      <c r="G53" s="205"/>
      <c r="H53" s="205"/>
      <c r="I53" s="205"/>
      <c r="J53" s="205"/>
      <c r="K53" s="205"/>
      <c r="L53" s="219"/>
      <c r="M53" s="219"/>
      <c r="N53" s="220"/>
      <c r="O53" s="144"/>
    </row>
    <row r="54" spans="1:15" hidden="1">
      <c r="A54" s="216"/>
      <c r="B54" s="217">
        <v>45</v>
      </c>
      <c r="C54" s="218"/>
      <c r="D54" s="205"/>
      <c r="E54" s="205"/>
      <c r="F54" s="205"/>
      <c r="G54" s="205"/>
      <c r="H54" s="205"/>
      <c r="I54" s="205"/>
      <c r="J54" s="205"/>
      <c r="K54" s="205"/>
      <c r="L54" s="219"/>
      <c r="M54" s="219"/>
      <c r="N54" s="220"/>
      <c r="O54" s="144"/>
    </row>
    <row r="55" spans="1:15" hidden="1">
      <c r="A55" s="216"/>
      <c r="B55" s="217">
        <v>46</v>
      </c>
      <c r="C55" s="218"/>
      <c r="D55" s="205"/>
      <c r="E55" s="205"/>
      <c r="F55" s="205"/>
      <c r="G55" s="205"/>
      <c r="H55" s="205"/>
      <c r="I55" s="205"/>
      <c r="J55" s="205"/>
      <c r="K55" s="205"/>
      <c r="L55" s="219"/>
      <c r="M55" s="219"/>
      <c r="N55" s="220"/>
      <c r="O55" s="144"/>
    </row>
    <row r="56" spans="1:15" hidden="1">
      <c r="A56" s="216"/>
      <c r="B56" s="217">
        <v>47</v>
      </c>
      <c r="C56" s="218"/>
      <c r="D56" s="205"/>
      <c r="E56" s="205"/>
      <c r="F56" s="205"/>
      <c r="G56" s="205"/>
      <c r="H56" s="205"/>
      <c r="I56" s="205"/>
      <c r="J56" s="205"/>
      <c r="K56" s="205"/>
      <c r="L56" s="219"/>
      <c r="M56" s="219"/>
      <c r="N56" s="220"/>
      <c r="O56" s="144"/>
    </row>
    <row r="57" spans="1:15" hidden="1">
      <c r="A57" s="216"/>
      <c r="B57" s="217">
        <v>48</v>
      </c>
      <c r="C57" s="218"/>
      <c r="D57" s="205"/>
      <c r="E57" s="205"/>
      <c r="F57" s="205"/>
      <c r="G57" s="205"/>
      <c r="H57" s="205"/>
      <c r="I57" s="205"/>
      <c r="J57" s="205"/>
      <c r="K57" s="205"/>
      <c r="L57" s="219"/>
      <c r="M57" s="219"/>
      <c r="N57" s="220"/>
      <c r="O57" s="144"/>
    </row>
    <row r="58" spans="1:15" hidden="1">
      <c r="A58" s="216"/>
      <c r="B58" s="217">
        <v>49</v>
      </c>
      <c r="C58" s="218"/>
      <c r="D58" s="205"/>
      <c r="E58" s="205"/>
      <c r="F58" s="205"/>
      <c r="G58" s="205"/>
      <c r="H58" s="205"/>
      <c r="I58" s="205"/>
      <c r="J58" s="205"/>
      <c r="K58" s="205"/>
      <c r="L58" s="219"/>
      <c r="M58" s="219"/>
      <c r="N58" s="220"/>
      <c r="O58" s="144"/>
    </row>
    <row r="59" spans="1:15" hidden="1">
      <c r="A59" s="216"/>
      <c r="B59" s="217">
        <v>50</v>
      </c>
      <c r="C59" s="218"/>
      <c r="D59" s="205"/>
      <c r="E59" s="205"/>
      <c r="F59" s="205"/>
      <c r="G59" s="205"/>
      <c r="H59" s="205"/>
      <c r="I59" s="205"/>
      <c r="J59" s="205"/>
      <c r="K59" s="205"/>
      <c r="L59" s="219"/>
      <c r="M59" s="219"/>
      <c r="N59" s="220"/>
      <c r="O59" s="144"/>
    </row>
    <row r="60" spans="1:15" ht="28.5" customHeight="1">
      <c r="B60" s="654" t="s">
        <v>319</v>
      </c>
      <c r="C60" s="655"/>
      <c r="D60" s="221">
        <f t="shared" ref="D60:J60" si="0">SUM(D10:D59)</f>
        <v>0</v>
      </c>
      <c r="E60" s="221">
        <f t="shared" si="0"/>
        <v>0</v>
      </c>
      <c r="F60" s="221">
        <f t="shared" si="0"/>
        <v>0</v>
      </c>
      <c r="G60" s="221">
        <f t="shared" si="0"/>
        <v>0</v>
      </c>
      <c r="H60" s="221">
        <f t="shared" si="0"/>
        <v>0</v>
      </c>
      <c r="I60" s="221">
        <f t="shared" si="0"/>
        <v>0</v>
      </c>
      <c r="J60" s="221">
        <f t="shared" si="0"/>
        <v>0</v>
      </c>
      <c r="K60" s="176"/>
      <c r="L60" s="176"/>
      <c r="M60" s="176"/>
      <c r="N60" s="176"/>
      <c r="O60" s="144"/>
    </row>
    <row r="61" spans="1:15" ht="30" customHeight="1">
      <c r="B61" s="654" t="s">
        <v>320</v>
      </c>
      <c r="C61" s="655"/>
      <c r="D61" s="205"/>
      <c r="E61" s="205"/>
      <c r="F61" s="205"/>
      <c r="G61" s="205"/>
      <c r="H61" s="205"/>
      <c r="I61" s="205"/>
      <c r="J61" s="205"/>
      <c r="K61" s="176"/>
      <c r="L61" s="219"/>
      <c r="M61" s="219"/>
      <c r="N61" s="176"/>
      <c r="O61" s="144"/>
    </row>
    <row r="62" spans="1:15">
      <c r="B62" s="654" t="s">
        <v>321</v>
      </c>
      <c r="C62" s="655"/>
      <c r="D62" s="176"/>
      <c r="E62" s="176"/>
      <c r="F62" s="205"/>
      <c r="G62" s="205"/>
      <c r="H62" s="205"/>
      <c r="I62" s="205"/>
      <c r="J62" s="205"/>
      <c r="K62" s="176"/>
      <c r="L62" s="219"/>
      <c r="M62" s="219"/>
      <c r="N62" s="176"/>
      <c r="O62" s="144"/>
    </row>
    <row r="63" spans="1:15" ht="30" customHeight="1">
      <c r="B63" s="654" t="s">
        <v>357</v>
      </c>
      <c r="C63" s="655"/>
      <c r="D63" s="221">
        <f>SUM(D60:D62)</f>
        <v>0</v>
      </c>
      <c r="E63" s="221">
        <f>SUM(E60:E62)</f>
        <v>0</v>
      </c>
      <c r="F63" s="221">
        <f t="shared" ref="F63:J63" si="1">SUM(F60:F62)</f>
        <v>0</v>
      </c>
      <c r="G63" s="221">
        <f t="shared" si="1"/>
        <v>0</v>
      </c>
      <c r="H63" s="221">
        <f t="shared" si="1"/>
        <v>0</v>
      </c>
      <c r="I63" s="221">
        <f t="shared" si="1"/>
        <v>0</v>
      </c>
      <c r="J63" s="221">
        <f t="shared" si="1"/>
        <v>0</v>
      </c>
      <c r="K63" s="176"/>
      <c r="L63" s="176"/>
      <c r="M63" s="176"/>
      <c r="N63" s="176"/>
      <c r="O63" s="144"/>
    </row>
    <row r="64" spans="1:15" ht="18.75" customHeight="1">
      <c r="B64" s="778" t="s">
        <v>994</v>
      </c>
      <c r="C64" s="778"/>
      <c r="D64" s="778"/>
      <c r="E64" s="778"/>
      <c r="F64" s="778"/>
      <c r="G64" s="778"/>
      <c r="H64" s="778"/>
      <c r="I64" s="778"/>
      <c r="J64" s="778"/>
      <c r="K64" s="778"/>
      <c r="L64" s="132"/>
      <c r="M64" s="132"/>
      <c r="N64" s="132"/>
    </row>
    <row r="65" spans="1:14" ht="18.75" customHeight="1"/>
    <row r="66" spans="1:14" ht="23.25" customHeight="1">
      <c r="B66" s="32" t="s">
        <v>1034</v>
      </c>
      <c r="C66" s="32"/>
      <c r="D66" s="32"/>
      <c r="E66" s="32"/>
      <c r="F66" s="32"/>
      <c r="G66" s="32"/>
      <c r="H66" s="32"/>
      <c r="I66" s="32"/>
      <c r="J66" s="32"/>
      <c r="K66" s="32"/>
      <c r="L66" s="32"/>
      <c r="M66" s="32"/>
      <c r="N66" s="32"/>
    </row>
    <row r="67" spans="1:14" ht="17.25">
      <c r="B67" s="842" t="s">
        <v>325</v>
      </c>
      <c r="C67" s="842"/>
      <c r="D67" s="842"/>
      <c r="E67" s="842"/>
      <c r="F67" s="842"/>
      <c r="G67" s="842"/>
      <c r="H67" s="842"/>
      <c r="I67" s="842"/>
      <c r="J67" s="842"/>
      <c r="K67" s="842"/>
      <c r="M67" s="32"/>
    </row>
    <row r="69" spans="1:14" s="15" customFormat="1" ht="15" hidden="1" customHeight="1">
      <c r="A69" s="6" t="s">
        <v>693</v>
      </c>
      <c r="C69" s="798" t="s">
        <v>323</v>
      </c>
      <c r="D69" s="799"/>
      <c r="E69" s="800" t="str">
        <f>IF(C10="","",C10)</f>
        <v/>
      </c>
      <c r="F69" s="801"/>
      <c r="G69" s="801"/>
      <c r="H69" s="801"/>
      <c r="I69" s="801"/>
      <c r="J69" s="654" t="s">
        <v>322</v>
      </c>
      <c r="K69" s="655"/>
      <c r="L69" s="802">
        <f>D10</f>
        <v>0</v>
      </c>
      <c r="M69" s="803"/>
      <c r="N69" s="222"/>
    </row>
    <row r="70" spans="1:14" ht="45" hidden="1" customHeight="1">
      <c r="C70" s="654" t="s">
        <v>995</v>
      </c>
      <c r="D70" s="655"/>
      <c r="E70" s="808"/>
      <c r="F70" s="809"/>
      <c r="G70" s="809"/>
      <c r="H70" s="809"/>
      <c r="I70" s="809"/>
      <c r="J70" s="809"/>
      <c r="K70" s="809"/>
      <c r="L70" s="809"/>
      <c r="M70" s="809"/>
      <c r="N70" s="144"/>
    </row>
    <row r="71" spans="1:14" ht="60" hidden="1"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11"/>
      <c r="E71" s="398" t="s">
        <v>240</v>
      </c>
      <c r="F71" s="632"/>
      <c r="G71" s="633"/>
      <c r="H71" s="633"/>
      <c r="I71" s="633"/>
      <c r="J71" s="633"/>
      <c r="K71" s="633"/>
      <c r="L71" s="633"/>
      <c r="M71" s="724"/>
      <c r="N71" s="144"/>
    </row>
    <row r="72" spans="1:14" ht="15" hidden="1"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hidden="1" customHeight="1">
      <c r="C73" s="826"/>
      <c r="D73" s="827"/>
      <c r="E73" s="411"/>
      <c r="F73" s="411"/>
      <c r="G73" s="411"/>
      <c r="H73" s="411"/>
      <c r="I73" s="411"/>
      <c r="J73" s="411"/>
      <c r="K73" s="411"/>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45" hidden="1"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20"/>
      <c r="F81" s="809"/>
      <c r="G81" s="809"/>
      <c r="H81" s="809"/>
      <c r="I81" s="809"/>
      <c r="J81" s="809"/>
      <c r="K81" s="809"/>
      <c r="L81" s="809"/>
      <c r="M81" s="809"/>
      <c r="N81" s="144"/>
    </row>
    <row r="82" spans="1:14" hidden="1">
      <c r="C82" s="654" t="s">
        <v>996</v>
      </c>
      <c r="D82" s="655"/>
      <c r="E82" s="189" t="s">
        <v>240</v>
      </c>
      <c r="F82" s="806"/>
      <c r="G82" s="807"/>
      <c r="H82" s="807"/>
      <c r="I82" s="807"/>
      <c r="J82" s="807"/>
      <c r="K82" s="807"/>
      <c r="L82" s="807"/>
      <c r="M82" s="807"/>
      <c r="N82" s="144"/>
    </row>
    <row r="83" spans="1:14" hidden="1">
      <c r="C83" s="654" t="s">
        <v>326</v>
      </c>
      <c r="D83" s="655"/>
      <c r="E83" s="189" t="s">
        <v>240</v>
      </c>
      <c r="F83" s="806"/>
      <c r="G83" s="807"/>
      <c r="H83" s="807"/>
      <c r="I83" s="807"/>
      <c r="J83" s="807"/>
      <c r="K83" s="807"/>
      <c r="L83" s="807"/>
      <c r="M83" s="807"/>
      <c r="N83" s="144"/>
    </row>
    <row r="84" spans="1:14" hidden="1">
      <c r="C84" s="804" t="s">
        <v>997</v>
      </c>
      <c r="D84" s="805"/>
      <c r="E84" s="189" t="s">
        <v>240</v>
      </c>
      <c r="F84" s="806"/>
      <c r="G84" s="807"/>
      <c r="H84" s="807"/>
      <c r="I84" s="807"/>
      <c r="J84" s="807"/>
      <c r="K84" s="807"/>
      <c r="L84" s="807"/>
      <c r="M84" s="807"/>
      <c r="N84" s="144"/>
    </row>
    <row r="85" spans="1:14" ht="30" hidden="1" customHeight="1">
      <c r="C85" s="804" t="s">
        <v>327</v>
      </c>
      <c r="D85" s="805"/>
      <c r="E85" s="189" t="s">
        <v>240</v>
      </c>
      <c r="F85" s="806"/>
      <c r="G85" s="807"/>
      <c r="H85" s="807"/>
      <c r="I85" s="807"/>
      <c r="J85" s="807"/>
      <c r="K85" s="807"/>
      <c r="L85" s="807"/>
      <c r="M85" s="807"/>
      <c r="N85" s="181"/>
    </row>
    <row r="86" spans="1:14" ht="9" hidden="1" customHeight="1">
      <c r="C86" s="132"/>
      <c r="D86" s="132"/>
      <c r="E86" s="132"/>
      <c r="F86" s="132"/>
      <c r="G86" s="132"/>
      <c r="H86" s="132"/>
      <c r="I86" s="132"/>
      <c r="J86" s="132"/>
      <c r="K86" s="132"/>
      <c r="L86" s="132"/>
      <c r="M86" s="132"/>
    </row>
    <row r="87" spans="1:14" hidden="1">
      <c r="B87"/>
      <c r="C87"/>
      <c r="D87"/>
      <c r="E87"/>
      <c r="F87"/>
      <c r="G87"/>
      <c r="H87"/>
      <c r="I87"/>
      <c r="J87"/>
      <c r="K87"/>
      <c r="L87"/>
      <c r="M87"/>
    </row>
    <row r="88" spans="1:14" s="15" customFormat="1" ht="15" hidden="1" customHeight="1">
      <c r="A88" s="6" t="s">
        <v>693</v>
      </c>
      <c r="C88" s="798" t="s">
        <v>644</v>
      </c>
      <c r="D88" s="799"/>
      <c r="E88" s="800" t="str">
        <f>IF(C11="","",C11)</f>
        <v/>
      </c>
      <c r="F88" s="801"/>
      <c r="G88" s="801"/>
      <c r="H88" s="801"/>
      <c r="I88" s="801"/>
      <c r="J88" s="654" t="s">
        <v>322</v>
      </c>
      <c r="K88" s="655"/>
      <c r="L88" s="802">
        <f>D11</f>
        <v>0</v>
      </c>
      <c r="M88" s="803"/>
      <c r="N88" s="222"/>
    </row>
    <row r="89" spans="1:14" ht="45" hidden="1" customHeight="1">
      <c r="C89" s="654" t="s">
        <v>995</v>
      </c>
      <c r="D89" s="655"/>
      <c r="E89" s="808"/>
      <c r="F89" s="809"/>
      <c r="G89" s="809"/>
      <c r="H89" s="809"/>
      <c r="I89" s="809"/>
      <c r="J89" s="809"/>
      <c r="K89" s="809"/>
      <c r="L89" s="809"/>
      <c r="M89" s="809"/>
      <c r="N89" s="144"/>
    </row>
    <row r="90" spans="1:14" ht="60" hidden="1"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1"/>
      <c r="E90" s="398" t="s">
        <v>240</v>
      </c>
      <c r="F90" s="632"/>
      <c r="G90" s="633"/>
      <c r="H90" s="633"/>
      <c r="I90" s="633"/>
      <c r="J90" s="633"/>
      <c r="K90" s="633"/>
      <c r="L90" s="633"/>
      <c r="M90" s="724"/>
      <c r="N90" s="144"/>
    </row>
    <row r="91" spans="1:14" ht="15" hidden="1"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hidden="1" customHeight="1">
      <c r="C92" s="826"/>
      <c r="D92" s="827"/>
      <c r="E92" s="411"/>
      <c r="F92" s="411"/>
      <c r="G92" s="411"/>
      <c r="H92" s="411"/>
      <c r="I92" s="411"/>
      <c r="J92" s="411"/>
      <c r="K92" s="411"/>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45" hidden="1"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20"/>
      <c r="F100" s="809"/>
      <c r="G100" s="809"/>
      <c r="H100" s="809"/>
      <c r="I100" s="809"/>
      <c r="J100" s="809"/>
      <c r="K100" s="809"/>
      <c r="L100" s="809"/>
      <c r="M100" s="809"/>
      <c r="N100" s="144"/>
    </row>
    <row r="101" spans="1:14" hidden="1">
      <c r="C101" s="654" t="s">
        <v>996</v>
      </c>
      <c r="D101" s="655"/>
      <c r="E101" s="189" t="s">
        <v>240</v>
      </c>
      <c r="F101" s="806"/>
      <c r="G101" s="807"/>
      <c r="H101" s="807"/>
      <c r="I101" s="807"/>
      <c r="J101" s="807"/>
      <c r="K101" s="807"/>
      <c r="L101" s="807"/>
      <c r="M101" s="807"/>
      <c r="N101" s="144"/>
    </row>
    <row r="102" spans="1:14" hidden="1">
      <c r="C102" s="654" t="s">
        <v>326</v>
      </c>
      <c r="D102" s="655"/>
      <c r="E102" s="189" t="s">
        <v>240</v>
      </c>
      <c r="F102" s="806"/>
      <c r="G102" s="807"/>
      <c r="H102" s="807"/>
      <c r="I102" s="807"/>
      <c r="J102" s="807"/>
      <c r="K102" s="807"/>
      <c r="L102" s="807"/>
      <c r="M102" s="807"/>
      <c r="N102" s="144"/>
    </row>
    <row r="103" spans="1:14" ht="15" hidden="1" customHeight="1">
      <c r="C103" s="804" t="s">
        <v>997</v>
      </c>
      <c r="D103" s="805"/>
      <c r="E103" s="189" t="s">
        <v>240</v>
      </c>
      <c r="F103" s="806"/>
      <c r="G103" s="807"/>
      <c r="H103" s="807"/>
      <c r="I103" s="807"/>
      <c r="J103" s="807"/>
      <c r="K103" s="807"/>
      <c r="L103" s="807"/>
      <c r="M103" s="807"/>
      <c r="N103" s="144"/>
    </row>
    <row r="104" spans="1:14" ht="30" hidden="1" customHeight="1">
      <c r="C104" s="804" t="s">
        <v>327</v>
      </c>
      <c r="D104" s="805"/>
      <c r="E104" s="189" t="s">
        <v>240</v>
      </c>
      <c r="F104" s="806"/>
      <c r="G104" s="807"/>
      <c r="H104" s="807"/>
      <c r="I104" s="807"/>
      <c r="J104" s="807"/>
      <c r="K104" s="807"/>
      <c r="L104" s="807"/>
      <c r="M104" s="807"/>
      <c r="N104" s="181"/>
    </row>
    <row r="105" spans="1:14" ht="9" hidden="1" customHeight="1">
      <c r="C105" s="132"/>
      <c r="D105" s="132"/>
      <c r="E105" s="132"/>
      <c r="F105" s="132"/>
      <c r="G105" s="132"/>
      <c r="H105" s="132"/>
      <c r="I105" s="132"/>
      <c r="J105" s="132"/>
      <c r="K105" s="132"/>
      <c r="L105" s="132"/>
      <c r="M105" s="132"/>
    </row>
    <row r="106" spans="1:14" hidden="1">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8" spans="2:15" hidden="1"/>
    <row r="1019" spans="2:15" ht="17.25">
      <c r="B1019" s="32" t="s">
        <v>1033</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1682</v>
      </c>
      <c r="C1021" s="32"/>
      <c r="D1021" s="32"/>
      <c r="E1021" s="32"/>
      <c r="F1021" s="32"/>
      <c r="G1021" s="32"/>
      <c r="H1021" s="32"/>
      <c r="I1021" s="32"/>
      <c r="J1021" s="32"/>
      <c r="K1021" s="32"/>
      <c r="L1021" s="32"/>
      <c r="M1021" s="32"/>
      <c r="N1021" s="32"/>
    </row>
    <row r="1022" spans="2:15" ht="15" customHeight="1"/>
    <row r="1023" spans="2:15" ht="99.75" customHeight="1">
      <c r="B1023" s="758"/>
      <c r="C1023" s="759"/>
      <c r="D1023" s="759"/>
      <c r="E1023" s="759"/>
      <c r="F1023" s="759"/>
      <c r="G1023" s="759"/>
      <c r="H1023" s="759"/>
      <c r="I1023" s="759"/>
      <c r="J1023" s="759"/>
      <c r="K1023" s="759"/>
      <c r="L1023" s="759"/>
      <c r="M1023" s="759"/>
      <c r="N1023" s="768"/>
      <c r="O1023" s="144"/>
    </row>
    <row r="1024" spans="2:15" ht="17.25">
      <c r="B1024" s="32"/>
      <c r="C1024" s="32"/>
      <c r="D1024" s="32"/>
      <c r="E1024" s="32"/>
      <c r="F1024" s="32"/>
      <c r="G1024" s="32"/>
      <c r="H1024" s="32"/>
      <c r="I1024" s="32"/>
      <c r="J1024" s="32"/>
      <c r="K1024" s="32"/>
      <c r="L1024" s="32"/>
      <c r="M1024" s="32"/>
      <c r="N1024" s="32"/>
    </row>
    <row r="1025" spans="2:14" ht="17.25">
      <c r="B1025" s="50" t="s">
        <v>1683</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857" t="s">
        <v>1667</v>
      </c>
      <c r="E1027" s="857"/>
      <c r="F1027" s="857"/>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313">
        <v>2020</v>
      </c>
      <c r="G1030" s="313">
        <v>2021</v>
      </c>
      <c r="H1030" s="313">
        <v>2022</v>
      </c>
      <c r="I1030" s="313">
        <v>2023</v>
      </c>
      <c r="J1030" s="313">
        <v>2024</v>
      </c>
      <c r="K1030" s="795"/>
      <c r="L1030" s="796"/>
      <c r="M1030" s="796"/>
      <c r="N1030" s="797"/>
    </row>
    <row r="1031" spans="2:14" hidden="1">
      <c r="B1031" s="403">
        <v>1</v>
      </c>
      <c r="C1031" s="401"/>
      <c r="D1031" s="205"/>
      <c r="E1031" s="205"/>
      <c r="F1031" s="402"/>
      <c r="G1031" s="402"/>
      <c r="H1031" s="402"/>
      <c r="I1031" s="402"/>
      <c r="J1031" s="402"/>
      <c r="K1031" s="790"/>
      <c r="L1031" s="791"/>
      <c r="M1031" s="791"/>
      <c r="N1031" s="792"/>
    </row>
    <row r="1032" spans="2:14" hidden="1">
      <c r="B1032" s="403">
        <v>2</v>
      </c>
      <c r="C1032" s="401"/>
      <c r="D1032" s="205"/>
      <c r="E1032" s="205"/>
      <c r="F1032" s="402"/>
      <c r="G1032" s="402"/>
      <c r="H1032" s="402"/>
      <c r="I1032" s="402"/>
      <c r="J1032" s="402"/>
      <c r="K1032" s="790"/>
      <c r="L1032" s="791"/>
      <c r="M1032" s="791"/>
      <c r="N1032" s="792"/>
    </row>
    <row r="1033" spans="2:14" hidden="1">
      <c r="B1033" s="403">
        <v>3</v>
      </c>
      <c r="C1033" s="401"/>
      <c r="D1033" s="205"/>
      <c r="E1033" s="205"/>
      <c r="F1033" s="402"/>
      <c r="G1033" s="402"/>
      <c r="H1033" s="402"/>
      <c r="I1033" s="402"/>
      <c r="J1033" s="402"/>
      <c r="K1033" s="790"/>
      <c r="L1033" s="791"/>
      <c r="M1033" s="791"/>
      <c r="N1033" s="792"/>
    </row>
    <row r="1034" spans="2:14" hidden="1">
      <c r="B1034" s="403">
        <v>4</v>
      </c>
      <c r="C1034" s="401"/>
      <c r="D1034" s="205"/>
      <c r="E1034" s="205"/>
      <c r="F1034" s="402"/>
      <c r="G1034" s="402"/>
      <c r="H1034" s="402"/>
      <c r="I1034" s="402"/>
      <c r="J1034" s="402"/>
      <c r="K1034" s="790"/>
      <c r="L1034" s="791"/>
      <c r="M1034" s="791"/>
      <c r="N1034" s="792"/>
    </row>
    <row r="1035" spans="2:14" hidden="1">
      <c r="B1035" s="403">
        <v>5</v>
      </c>
      <c r="C1035" s="401"/>
      <c r="D1035" s="205"/>
      <c r="E1035" s="205"/>
      <c r="F1035" s="402"/>
      <c r="G1035" s="402"/>
      <c r="H1035" s="402"/>
      <c r="I1035" s="402"/>
      <c r="J1035" s="402"/>
      <c r="K1035" s="790"/>
      <c r="L1035" s="791"/>
      <c r="M1035" s="791"/>
      <c r="N1035" s="792"/>
    </row>
    <row r="1036" spans="2:14" hidden="1">
      <c r="B1036" s="403">
        <v>6</v>
      </c>
      <c r="C1036" s="401"/>
      <c r="D1036" s="205"/>
      <c r="E1036" s="205"/>
      <c r="F1036" s="402"/>
      <c r="G1036" s="402"/>
      <c r="H1036" s="402"/>
      <c r="I1036" s="402"/>
      <c r="J1036" s="402"/>
      <c r="K1036" s="790"/>
      <c r="L1036" s="791"/>
      <c r="M1036" s="791"/>
      <c r="N1036" s="792"/>
    </row>
    <row r="1037" spans="2:14" hidden="1">
      <c r="B1037" s="403">
        <v>7</v>
      </c>
      <c r="C1037" s="401"/>
      <c r="D1037" s="205"/>
      <c r="E1037" s="205"/>
      <c r="F1037" s="402"/>
      <c r="G1037" s="402"/>
      <c r="H1037" s="402"/>
      <c r="I1037" s="402"/>
      <c r="J1037" s="402"/>
      <c r="K1037" s="790"/>
      <c r="L1037" s="791"/>
      <c r="M1037" s="791"/>
      <c r="N1037" s="792"/>
    </row>
    <row r="1038" spans="2:14" hidden="1">
      <c r="B1038" s="403">
        <v>8</v>
      </c>
      <c r="C1038" s="401"/>
      <c r="D1038" s="205"/>
      <c r="E1038" s="205"/>
      <c r="F1038" s="402"/>
      <c r="G1038" s="402"/>
      <c r="H1038" s="402"/>
      <c r="I1038" s="402"/>
      <c r="J1038" s="402"/>
      <c r="K1038" s="790"/>
      <c r="L1038" s="791"/>
      <c r="M1038" s="791"/>
      <c r="N1038" s="792"/>
    </row>
    <row r="1039" spans="2:14" hidden="1">
      <c r="B1039" s="403">
        <v>9</v>
      </c>
      <c r="C1039" s="401"/>
      <c r="D1039" s="205"/>
      <c r="E1039" s="205"/>
      <c r="F1039" s="402"/>
      <c r="G1039" s="402"/>
      <c r="H1039" s="402"/>
      <c r="I1039" s="402"/>
      <c r="J1039" s="402"/>
      <c r="K1039" s="790"/>
      <c r="L1039" s="791"/>
      <c r="M1039" s="791"/>
      <c r="N1039" s="792"/>
    </row>
    <row r="1040" spans="2:14" hidden="1">
      <c r="B1040" s="403">
        <v>10</v>
      </c>
      <c r="C1040" s="401"/>
      <c r="D1040" s="205"/>
      <c r="E1040" s="205"/>
      <c r="F1040" s="402"/>
      <c r="G1040" s="402"/>
      <c r="H1040" s="402"/>
      <c r="I1040" s="402"/>
      <c r="J1040" s="402"/>
      <c r="K1040" s="790"/>
      <c r="L1040" s="791"/>
      <c r="M1040" s="791"/>
      <c r="N1040" s="792"/>
    </row>
    <row r="1041" spans="2:14" hidden="1">
      <c r="B1041" s="403">
        <v>11</v>
      </c>
      <c r="C1041" s="401"/>
      <c r="D1041" s="205"/>
      <c r="E1041" s="205"/>
      <c r="F1041" s="402"/>
      <c r="G1041" s="402"/>
      <c r="H1041" s="402"/>
      <c r="I1041" s="402"/>
      <c r="J1041" s="402"/>
      <c r="K1041" s="790"/>
      <c r="L1041" s="791"/>
      <c r="M1041" s="791"/>
      <c r="N1041" s="792"/>
    </row>
    <row r="1042" spans="2:14" hidden="1">
      <c r="B1042" s="403">
        <v>12</v>
      </c>
      <c r="C1042" s="401"/>
      <c r="D1042" s="205"/>
      <c r="E1042" s="205"/>
      <c r="F1042" s="402"/>
      <c r="G1042" s="402"/>
      <c r="H1042" s="402"/>
      <c r="I1042" s="402"/>
      <c r="J1042" s="402"/>
      <c r="K1042" s="790"/>
      <c r="L1042" s="791"/>
      <c r="M1042" s="791"/>
      <c r="N1042" s="792"/>
    </row>
    <row r="1043" spans="2:14" hidden="1">
      <c r="B1043" s="403">
        <v>13</v>
      </c>
      <c r="C1043" s="401"/>
      <c r="D1043" s="205"/>
      <c r="E1043" s="205"/>
      <c r="F1043" s="402"/>
      <c r="G1043" s="402"/>
      <c r="H1043" s="402"/>
      <c r="I1043" s="402"/>
      <c r="J1043" s="402"/>
      <c r="K1043" s="790"/>
      <c r="L1043" s="791"/>
      <c r="M1043" s="791"/>
      <c r="N1043" s="792"/>
    </row>
    <row r="1044" spans="2:14" hidden="1">
      <c r="B1044" s="403">
        <v>14</v>
      </c>
      <c r="C1044" s="401"/>
      <c r="D1044" s="205"/>
      <c r="E1044" s="205"/>
      <c r="F1044" s="402"/>
      <c r="G1044" s="402"/>
      <c r="H1044" s="402"/>
      <c r="I1044" s="402"/>
      <c r="J1044" s="402"/>
      <c r="K1044" s="790"/>
      <c r="L1044" s="791"/>
      <c r="M1044" s="791"/>
      <c r="N1044" s="792"/>
    </row>
    <row r="1045" spans="2:14" hidden="1">
      <c r="B1045" s="403">
        <v>15</v>
      </c>
      <c r="C1045" s="401"/>
      <c r="D1045" s="205"/>
      <c r="E1045" s="205"/>
      <c r="F1045" s="402"/>
      <c r="G1045" s="402"/>
      <c r="H1045" s="402"/>
      <c r="I1045" s="402"/>
      <c r="J1045" s="402"/>
      <c r="K1045" s="790"/>
      <c r="L1045" s="791"/>
      <c r="M1045" s="791"/>
      <c r="N1045" s="792"/>
    </row>
    <row r="1046" spans="2:14" hidden="1">
      <c r="B1046" s="403">
        <v>16</v>
      </c>
      <c r="C1046" s="401"/>
      <c r="D1046" s="205"/>
      <c r="E1046" s="205"/>
      <c r="F1046" s="402"/>
      <c r="G1046" s="402"/>
      <c r="H1046" s="402"/>
      <c r="I1046" s="402"/>
      <c r="J1046" s="402"/>
      <c r="K1046" s="790"/>
      <c r="L1046" s="791"/>
      <c r="M1046" s="791"/>
      <c r="N1046" s="792"/>
    </row>
    <row r="1047" spans="2:14" hidden="1">
      <c r="B1047" s="403">
        <v>17</v>
      </c>
      <c r="C1047" s="401"/>
      <c r="D1047" s="205"/>
      <c r="E1047" s="205"/>
      <c r="F1047" s="402"/>
      <c r="G1047" s="402"/>
      <c r="H1047" s="402"/>
      <c r="I1047" s="402"/>
      <c r="J1047" s="402"/>
      <c r="K1047" s="790"/>
      <c r="L1047" s="791"/>
      <c r="M1047" s="791"/>
      <c r="N1047" s="792"/>
    </row>
    <row r="1048" spans="2:14" hidden="1">
      <c r="B1048" s="403">
        <v>18</v>
      </c>
      <c r="C1048" s="401"/>
      <c r="D1048" s="205"/>
      <c r="E1048" s="205"/>
      <c r="F1048" s="402"/>
      <c r="G1048" s="402"/>
      <c r="H1048" s="402"/>
      <c r="I1048" s="402"/>
      <c r="J1048" s="402"/>
      <c r="K1048" s="790"/>
      <c r="L1048" s="791"/>
      <c r="M1048" s="791"/>
      <c r="N1048" s="792"/>
    </row>
    <row r="1049" spans="2:14" hidden="1">
      <c r="B1049" s="403">
        <v>19</v>
      </c>
      <c r="C1049" s="401"/>
      <c r="D1049" s="205"/>
      <c r="E1049" s="205"/>
      <c r="F1049" s="402"/>
      <c r="G1049" s="402"/>
      <c r="H1049" s="402"/>
      <c r="I1049" s="402"/>
      <c r="J1049" s="402"/>
      <c r="K1049" s="790"/>
      <c r="L1049" s="791"/>
      <c r="M1049" s="791"/>
      <c r="N1049" s="792"/>
    </row>
    <row r="1050" spans="2:14" hidden="1">
      <c r="B1050" s="403">
        <v>20</v>
      </c>
      <c r="C1050" s="401"/>
      <c r="D1050" s="404"/>
      <c r="E1050" s="402"/>
      <c r="F1050" s="402"/>
      <c r="G1050" s="402"/>
      <c r="H1050" s="402"/>
      <c r="I1050" s="402"/>
      <c r="J1050" s="402"/>
      <c r="K1050" s="790"/>
      <c r="L1050" s="791"/>
      <c r="M1050" s="791"/>
      <c r="N1050" s="792"/>
    </row>
    <row r="1051" spans="2:14" ht="15" customHeight="1">
      <c r="B1051" s="132"/>
      <c r="C1051" s="132"/>
      <c r="D1051" s="132"/>
      <c r="E1051" s="132"/>
      <c r="F1051" s="132"/>
      <c r="G1051" s="132"/>
      <c r="H1051" s="132"/>
      <c r="I1051" s="132"/>
      <c r="J1051" s="132"/>
      <c r="K1051" s="132"/>
      <c r="L1051" s="132"/>
      <c r="M1051" s="132"/>
      <c r="N1051" s="132"/>
    </row>
    <row r="1052" spans="2:14" ht="15" customHeight="1">
      <c r="F1052" s="455"/>
      <c r="G1052" s="455"/>
      <c r="H1052" s="455"/>
      <c r="I1052" s="455"/>
      <c r="J1052" s="455"/>
      <c r="K1052" s="455"/>
      <c r="L1052" s="455"/>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931" priority="54">
      <formula>$A$2="PRINT"</formula>
    </cfRule>
  </conditionalFormatting>
  <conditionalFormatting sqref="E71">
    <cfRule type="expression" dxfId="930" priority="53">
      <formula>$A$2="PRINT"</formula>
    </cfRule>
  </conditionalFormatting>
  <conditionalFormatting sqref="E90">
    <cfRule type="expression" dxfId="929" priority="52">
      <formula>$A$2="PRINT"</formula>
    </cfRule>
  </conditionalFormatting>
  <conditionalFormatting sqref="E109">
    <cfRule type="expression" dxfId="928" priority="51">
      <formula>$A$2="PRINT"</formula>
    </cfRule>
  </conditionalFormatting>
  <conditionalFormatting sqref="E128">
    <cfRule type="expression" dxfId="927" priority="50">
      <formula>$A$2="PRINT"</formula>
    </cfRule>
  </conditionalFormatting>
  <conditionalFormatting sqref="E147">
    <cfRule type="expression" dxfId="926" priority="49">
      <formula>$A$2="PRINT"</formula>
    </cfRule>
  </conditionalFormatting>
  <conditionalFormatting sqref="E166">
    <cfRule type="expression" dxfId="925" priority="48">
      <formula>$A$2="PRINT"</formula>
    </cfRule>
  </conditionalFormatting>
  <conditionalFormatting sqref="E185">
    <cfRule type="expression" dxfId="924" priority="47">
      <formula>$A$2="PRINT"</formula>
    </cfRule>
  </conditionalFormatting>
  <conditionalFormatting sqref="E204">
    <cfRule type="expression" dxfId="923" priority="46">
      <formula>$A$2="PRINT"</formula>
    </cfRule>
  </conditionalFormatting>
  <conditionalFormatting sqref="E223">
    <cfRule type="expression" dxfId="922" priority="45">
      <formula>$A$2="PRINT"</formula>
    </cfRule>
  </conditionalFormatting>
  <conditionalFormatting sqref="E242">
    <cfRule type="expression" dxfId="921" priority="44">
      <formula>$A$2="PRINT"</formula>
    </cfRule>
  </conditionalFormatting>
  <conditionalFormatting sqref="E261">
    <cfRule type="expression" dxfId="920" priority="43">
      <formula>$A$2="PRINT"</formula>
    </cfRule>
  </conditionalFormatting>
  <conditionalFormatting sqref="E280">
    <cfRule type="expression" dxfId="919" priority="42">
      <formula>$A$2="PRINT"</formula>
    </cfRule>
  </conditionalFormatting>
  <conditionalFormatting sqref="E299">
    <cfRule type="expression" dxfId="918" priority="41">
      <formula>$A$2="PRINT"</formula>
    </cfRule>
  </conditionalFormatting>
  <conditionalFormatting sqref="E318">
    <cfRule type="expression" dxfId="917" priority="40">
      <formula>$A$2="PRINT"</formula>
    </cfRule>
  </conditionalFormatting>
  <conditionalFormatting sqref="E337">
    <cfRule type="expression" dxfId="916" priority="39">
      <formula>$A$2="PRINT"</formula>
    </cfRule>
  </conditionalFormatting>
  <conditionalFormatting sqref="E356">
    <cfRule type="expression" dxfId="915" priority="38">
      <formula>$A$2="PRINT"</formula>
    </cfRule>
  </conditionalFormatting>
  <conditionalFormatting sqref="E375">
    <cfRule type="expression" dxfId="914" priority="37">
      <formula>$A$2="PRINT"</formula>
    </cfRule>
  </conditionalFormatting>
  <conditionalFormatting sqref="E394">
    <cfRule type="expression" dxfId="913" priority="36">
      <formula>$A$2="PRINT"</formula>
    </cfRule>
  </conditionalFormatting>
  <conditionalFormatting sqref="E413">
    <cfRule type="expression" dxfId="912" priority="35">
      <formula>$A$2="PRINT"</formula>
    </cfRule>
  </conditionalFormatting>
  <conditionalFormatting sqref="E432">
    <cfRule type="expression" dxfId="911" priority="34">
      <formula>$A$2="PRINT"</formula>
    </cfRule>
  </conditionalFormatting>
  <conditionalFormatting sqref="E451">
    <cfRule type="expression" dxfId="910" priority="33">
      <formula>$A$2="PRINT"</formula>
    </cfRule>
  </conditionalFormatting>
  <conditionalFormatting sqref="E470">
    <cfRule type="expression" dxfId="909" priority="32">
      <formula>$A$2="PRINT"</formula>
    </cfRule>
  </conditionalFormatting>
  <conditionalFormatting sqref="E489">
    <cfRule type="expression" dxfId="908" priority="31">
      <formula>$A$2="PRINT"</formula>
    </cfRule>
  </conditionalFormatting>
  <conditionalFormatting sqref="E508">
    <cfRule type="expression" dxfId="907" priority="30">
      <formula>$A$2="PRINT"</formula>
    </cfRule>
  </conditionalFormatting>
  <conditionalFormatting sqref="E527">
    <cfRule type="expression" dxfId="906" priority="29">
      <formula>$A$2="PRINT"</formula>
    </cfRule>
  </conditionalFormatting>
  <conditionalFormatting sqref="E546">
    <cfRule type="expression" dxfId="905" priority="28">
      <formula>$A$2="PRINT"</formula>
    </cfRule>
  </conditionalFormatting>
  <conditionalFormatting sqref="E565">
    <cfRule type="expression" dxfId="904" priority="27">
      <formula>$A$2="PRINT"</formula>
    </cfRule>
  </conditionalFormatting>
  <conditionalFormatting sqref="E584">
    <cfRule type="expression" dxfId="903" priority="26">
      <formula>$A$2="PRINT"</formula>
    </cfRule>
  </conditionalFormatting>
  <conditionalFormatting sqref="E603">
    <cfRule type="expression" dxfId="902" priority="25">
      <formula>$A$2="PRINT"</formula>
    </cfRule>
  </conditionalFormatting>
  <conditionalFormatting sqref="E622">
    <cfRule type="expression" dxfId="901" priority="24">
      <formula>$A$2="PRINT"</formula>
    </cfRule>
  </conditionalFormatting>
  <conditionalFormatting sqref="E641">
    <cfRule type="expression" dxfId="900" priority="23">
      <formula>$A$2="PRINT"</formula>
    </cfRule>
  </conditionalFormatting>
  <conditionalFormatting sqref="E660">
    <cfRule type="expression" dxfId="899" priority="22">
      <formula>$A$2="PRINT"</formula>
    </cfRule>
  </conditionalFormatting>
  <conditionalFormatting sqref="E679">
    <cfRule type="expression" dxfId="898" priority="21">
      <formula>$A$2="PRINT"</formula>
    </cfRule>
  </conditionalFormatting>
  <conditionalFormatting sqref="E698">
    <cfRule type="expression" dxfId="897" priority="20">
      <formula>$A$2="PRINT"</formula>
    </cfRule>
  </conditionalFormatting>
  <conditionalFormatting sqref="E717">
    <cfRule type="expression" dxfId="896" priority="19">
      <formula>$A$2="PRINT"</formula>
    </cfRule>
  </conditionalFormatting>
  <conditionalFormatting sqref="E736">
    <cfRule type="expression" dxfId="895" priority="18">
      <formula>$A$2="PRINT"</formula>
    </cfRule>
  </conditionalFormatting>
  <conditionalFormatting sqref="E755">
    <cfRule type="expression" dxfId="894" priority="17">
      <formula>$A$2="PRINT"</formula>
    </cfRule>
  </conditionalFormatting>
  <conditionalFormatting sqref="E774">
    <cfRule type="expression" dxfId="893" priority="16">
      <formula>$A$2="PRINT"</formula>
    </cfRule>
  </conditionalFormatting>
  <conditionalFormatting sqref="E793">
    <cfRule type="expression" dxfId="892" priority="15">
      <formula>$A$2="PRINT"</formula>
    </cfRule>
  </conditionalFormatting>
  <conditionalFormatting sqref="E812">
    <cfRule type="expression" dxfId="891" priority="14">
      <formula>$A$2="PRINT"</formula>
    </cfRule>
  </conditionalFormatting>
  <conditionalFormatting sqref="E831">
    <cfRule type="expression" dxfId="890" priority="13">
      <formula>$A$2="PRINT"</formula>
    </cfRule>
  </conditionalFormatting>
  <conditionalFormatting sqref="E850">
    <cfRule type="expression" dxfId="889" priority="12">
      <formula>$A$2="PRINT"</formula>
    </cfRule>
  </conditionalFormatting>
  <conditionalFormatting sqref="E869">
    <cfRule type="expression" dxfId="888" priority="11">
      <formula>$A$2="PRINT"</formula>
    </cfRule>
  </conditionalFormatting>
  <conditionalFormatting sqref="E888">
    <cfRule type="expression" dxfId="887" priority="10">
      <formula>$A$2="PRINT"</formula>
    </cfRule>
  </conditionalFormatting>
  <conditionalFormatting sqref="E907">
    <cfRule type="expression" dxfId="886" priority="9">
      <formula>$A$2="PRINT"</formula>
    </cfRule>
  </conditionalFormatting>
  <conditionalFormatting sqref="E926">
    <cfRule type="expression" dxfId="885" priority="8">
      <formula>$A$2="PRINT"</formula>
    </cfRule>
  </conditionalFormatting>
  <conditionalFormatting sqref="E945">
    <cfRule type="expression" dxfId="884" priority="7">
      <formula>$A$2="PRINT"</formula>
    </cfRule>
  </conditionalFormatting>
  <conditionalFormatting sqref="E964">
    <cfRule type="expression" dxfId="883" priority="6">
      <formula>$A$2="PRINT"</formula>
    </cfRule>
  </conditionalFormatting>
  <conditionalFormatting sqref="E983">
    <cfRule type="expression" dxfId="882" priority="5">
      <formula>$A$2="PRINT"</formula>
    </cfRule>
  </conditionalFormatting>
  <conditionalFormatting sqref="E1002">
    <cfRule type="expression" dxfId="881" priority="4">
      <formula>$A$2="PRINT"</formula>
    </cfRule>
  </conditionalFormatting>
  <conditionalFormatting sqref="B1031 B1033 B1035 B1037 B1039 B1041 B1043 B1045 B1047 B1049:B1050">
    <cfRule type="expression" dxfId="880" priority="3">
      <formula>$A$2="PRINT"</formula>
    </cfRule>
  </conditionalFormatting>
  <conditionalFormatting sqref="B1032 B1034 B1036 B1038 B1040 B1042 B1044 B1046 B1048">
    <cfRule type="expression" dxfId="879" priority="2">
      <formula>$A$2="PRINT"</formula>
    </cfRule>
  </conditionalFormatting>
  <conditionalFormatting sqref="D1027:F1027">
    <cfRule type="expression" dxfId="878" priority="1">
      <formula>$A$2="PRINT"</formula>
    </cfRule>
  </conditionalFormatting>
  <dataValidations count="5">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500-000000000000}">
      <formula1>"Click to select,Yes,No"</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500-000001000000}">
      <formula1>"Click to select,New system,Overhaul of existing system,Replacement investment"</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500-000002000000}">
      <formula1>"Click to select,PCP,Master Plan (non-PCP)"</formula1>
    </dataValidation>
    <dataValidation type="list" allowBlank="1" showErrorMessage="1" sqref="D6:F6" xr:uid="{00000000-0002-0000-1500-000003000000}">
      <formula1>"Click to select number of new major investments,0,1,2,3,4,5,6,7,8,9,10,11,12,13,14,15,16,17,18,19,20,21,22,23,24,25,26,27,28,29,30,31,32,33,34,35,36,37,38,39,40,41,42,43,44,45,46,47,48,49,50"</formula1>
    </dataValidation>
    <dataValidation type="list" allowBlank="1" showErrorMessage="1" sqref="D1027:F1027" xr:uid="{00000000-0002-0000-1500-000004000000}">
      <formula1>"Click to select number of new other investments,0,1,2,3,4,5,6,7,8,9,10,11,12,13,14,15,16,17,18,19,20"</formula1>
    </dataValidation>
  </dataValidations>
  <hyperlinks>
    <hyperlink ref="B10" location="'2.1 Investments_ANSP#1'!B83" tooltip="Go to Project #" display="1" xr:uid="{00000000-0004-0000-1500-000000000000}"/>
    <hyperlink ref="B11" location="'2.1 Investments_ANSP#1'!B102" tooltip="Go to Project #" display="2" xr:uid="{00000000-0004-0000-1500-000001000000}"/>
    <hyperlink ref="B12" location="'2.1 Investments_ANSP#1'!B121" tooltip="Go to Project #" display="3" xr:uid="{00000000-0004-0000-1500-000002000000}"/>
    <hyperlink ref="B13" location="'2.1 Investments_ANSP#1'!B140" tooltip="Go to Project #" display="4" xr:uid="{00000000-0004-0000-1500-000003000000}"/>
    <hyperlink ref="B14" location="'2.1 Investments_ANSP#1'!B159" tooltip="Go to Project #" display="5" xr:uid="{00000000-0004-0000-1500-000004000000}"/>
    <hyperlink ref="B15" location="'2.1 Investments_ANSP#1'!B178" tooltip="Go to Project #" display="6" xr:uid="{00000000-0004-0000-1500-000005000000}"/>
    <hyperlink ref="B16" location="'2.1 Investments_ANSP#1'!B197" tooltip="Go to Project #" display="7" xr:uid="{00000000-0004-0000-1500-000006000000}"/>
    <hyperlink ref="B17" location="'2.1 Investments_ANSP#1'!B216" tooltip="Go to Project #" display="8" xr:uid="{00000000-0004-0000-1500-000007000000}"/>
    <hyperlink ref="B18" location="'2.1 Investments_ANSP#1'!B235" tooltip="Go to Project #" display="9" xr:uid="{00000000-0004-0000-1500-000008000000}"/>
    <hyperlink ref="B19" location="'2.1 Investments_ANSP#1'!B254" tooltip="Go to Project #" display="10" xr:uid="{00000000-0004-0000-1500-000009000000}"/>
    <hyperlink ref="B20" location="'2.1 Investments_ANSP#1'!B273" tooltip="Go to Project #" display="11" xr:uid="{00000000-0004-0000-1500-00000A000000}"/>
    <hyperlink ref="B21" location="'2.1 Investments_ANSP#1'!B292" tooltip="Go to Project #" display="12" xr:uid="{00000000-0004-0000-1500-00000B000000}"/>
    <hyperlink ref="B22" location="'2.1 Investments_ANSP#1'!B311" tooltip="Go to Project #" display="13" xr:uid="{00000000-0004-0000-1500-00000C000000}"/>
    <hyperlink ref="B23" location="'2.1 Investments_ANSP#1'!B330" tooltip="Go to Project #" display="14" xr:uid="{00000000-0004-0000-1500-00000D000000}"/>
    <hyperlink ref="B24" location="'2.1 Investments_ANSP#1'!B349" tooltip="Go to Project #" display="15" xr:uid="{00000000-0004-0000-1500-00000E000000}"/>
    <hyperlink ref="B25" location="'2.1 Investments_ANSP#1'!B368" tooltip="Go to Project #" display="16" xr:uid="{00000000-0004-0000-1500-00000F000000}"/>
    <hyperlink ref="B26" location="'2.1 Investments_ANSP#1'!B387" tooltip="Go to Project #" display="17" xr:uid="{00000000-0004-0000-1500-000010000000}"/>
    <hyperlink ref="B27" location="'2.1 Investments_ANSP#1'!B406" tooltip="Go to Project #" display="18" xr:uid="{00000000-0004-0000-1500-000011000000}"/>
    <hyperlink ref="B28" location="'2.1 Investments_ANSP#1'!B425" tooltip="Go to Project #" display="19" xr:uid="{00000000-0004-0000-1500-000012000000}"/>
    <hyperlink ref="B29" location="'2.1 Investments_ANSP#1'!B444" tooltip="Go to Project #" display="20" xr:uid="{00000000-0004-0000-1500-000013000000}"/>
    <hyperlink ref="B30" location="'2.1 Investments_ANSP#1'!B463" tooltip="Go to Project #" display="21" xr:uid="{00000000-0004-0000-1500-000014000000}"/>
    <hyperlink ref="B31" location="'2.1 Investments_ANSP#1'!B482" tooltip="Go to Project #" display="22" xr:uid="{00000000-0004-0000-1500-000015000000}"/>
    <hyperlink ref="B32" location="'2.1 Investments_ANSP#1'!B501" tooltip="Go to Project #" display="23" xr:uid="{00000000-0004-0000-1500-000016000000}"/>
    <hyperlink ref="B33" location="'2.1 Investments_ANSP#1'!B520" tooltip="Go to Project #" display="24" xr:uid="{00000000-0004-0000-1500-000017000000}"/>
    <hyperlink ref="B34" location="'2.1 Investments_ANSP#1'!B539" tooltip="Go to Project #" display="25" xr:uid="{00000000-0004-0000-1500-000018000000}"/>
    <hyperlink ref="B35" location="'2.1 Investments_ANSP#1'!B558" tooltip="Go to Project #" display="26" xr:uid="{00000000-0004-0000-1500-000019000000}"/>
    <hyperlink ref="B36" location="'2.1 Investments_ANSP#1'!B577" tooltip="Go to Project #" display="27" xr:uid="{00000000-0004-0000-1500-00001A000000}"/>
    <hyperlink ref="B37" location="'2.1 Investments_ANSP#1'!B596" tooltip="Go to Project #" display="28" xr:uid="{00000000-0004-0000-1500-00001B000000}"/>
    <hyperlink ref="B38" location="'2.1 Investments_ANSP#1'!B615" tooltip="Go to Project #" display="29" xr:uid="{00000000-0004-0000-1500-00001C000000}"/>
    <hyperlink ref="B39" location="'2.1 Investments_ANSP#1'!B634" tooltip="Go to Project #" display="30" xr:uid="{00000000-0004-0000-1500-00001D000000}"/>
    <hyperlink ref="B40" location="'2.1 Investments_ANSP#1'!B653" tooltip="Go to Project #" display="31" xr:uid="{00000000-0004-0000-1500-00001E000000}"/>
    <hyperlink ref="B41" location="'2.1 Investments_ANSP#1'!B672" tooltip="Go to Project #" display="32" xr:uid="{00000000-0004-0000-1500-00001F000000}"/>
    <hyperlink ref="B42" location="'2.1 Investments_ANSP#1'!B691" tooltip="Go to Project #" display="33" xr:uid="{00000000-0004-0000-1500-000020000000}"/>
    <hyperlink ref="B43" location="'2.1 Investments_ANSP#1'!B710" tooltip="Go to Project #" display="34" xr:uid="{00000000-0004-0000-1500-000021000000}"/>
    <hyperlink ref="B44" location="'2.1 Investments_ANSP#1'!B729" tooltip="Go to Project #" display="35" xr:uid="{00000000-0004-0000-1500-000022000000}"/>
    <hyperlink ref="B45" location="'2.1 Investments_ANSP#1'!B748" tooltip="Go to Project #" display="36" xr:uid="{00000000-0004-0000-1500-000023000000}"/>
    <hyperlink ref="B46" location="'2.1 Investments_ANSP#1'!B767" tooltip="Go to Project #" display="37" xr:uid="{00000000-0004-0000-1500-000024000000}"/>
    <hyperlink ref="B47" location="'2.1 Investments_ANSP#1'!B786" tooltip="Go to Project #" display="38" xr:uid="{00000000-0004-0000-1500-000025000000}"/>
    <hyperlink ref="B48" location="'2.1 Investments_ANSP#1'!B805" tooltip="Go to Project #" display="39" xr:uid="{00000000-0004-0000-1500-000026000000}"/>
    <hyperlink ref="B49" location="'2.1 Investments_ANSP#1'!B824" tooltip="Go to Project #" display="40" xr:uid="{00000000-0004-0000-1500-000027000000}"/>
    <hyperlink ref="B50" location="'2.1 Investments_ANSP#1'!B843" tooltip="Go to Project #" display="41" xr:uid="{00000000-0004-0000-1500-000028000000}"/>
    <hyperlink ref="B51" location="'2.1 Investments_ANSP#1'!B862" tooltip="Go to Project #" display="42" xr:uid="{00000000-0004-0000-1500-000029000000}"/>
    <hyperlink ref="B52" location="'2.1 Investments_ANSP#1'!B881" tooltip="Go to Project #" display="43" xr:uid="{00000000-0004-0000-1500-00002A000000}"/>
    <hyperlink ref="B53" location="'2.1 Investments_ANSP#1'!B900" tooltip="Go to Project #" display="44" xr:uid="{00000000-0004-0000-1500-00002B000000}"/>
    <hyperlink ref="B54" location="'2.1 Investments_ANSP#1'!B919" tooltip="Go to Project #" display="45" xr:uid="{00000000-0004-0000-1500-00002C000000}"/>
    <hyperlink ref="B55" location="'2.1 Investments_ANSP#1'!B938" tooltip="Go to Project #" display="46" xr:uid="{00000000-0004-0000-1500-00002D000000}"/>
    <hyperlink ref="B56" location="'2.1 Investments_ANSP#1'!B957" tooltip="Go to Project #" display="47" xr:uid="{00000000-0004-0000-1500-00002E000000}"/>
    <hyperlink ref="B57" location="'2.1 Investments_ANSP#1'!B976" tooltip="Go to Project #" display="48" xr:uid="{00000000-0004-0000-1500-00002F000000}"/>
    <hyperlink ref="B58" location="'2.1 Investments_ANSP#1'!B995" tooltip="Go to Project #" display="49" xr:uid="{00000000-0004-0000-1500-000030000000}"/>
    <hyperlink ref="B59" location="'2.1 Investments_ANSP#1'!B1014" tooltip="Go to Project #" display="50" xr:uid="{00000000-0004-0000-1500-000031000000}"/>
    <hyperlink ref="A69" location="'2.1 Investments_ANSP#1'!B4" tooltip="Go to top" display="'2.1 Investments_ANSP#1'!B4" xr:uid="{00000000-0004-0000-1500-000032000000}"/>
    <hyperlink ref="A943" location="'2.1 Investments_ANSP#1'!B4" tooltip="Go to top" display="'2.1 Investments_ANSP#1'!B4" xr:uid="{00000000-0004-0000-1500-000033000000}"/>
    <hyperlink ref="A962" location="'2.1 Investments_ANSP#1'!B4" tooltip="Go to top" display="'2.1 Investments_ANSP#1'!B4" xr:uid="{00000000-0004-0000-1500-000034000000}"/>
    <hyperlink ref="A981" location="'2.1 Investments_ANSP#1'!B4" tooltip="Go to top" display="'2.1 Investments_ANSP#1'!B4" xr:uid="{00000000-0004-0000-1500-000035000000}"/>
    <hyperlink ref="A1000" location="'2.1 Investments_ANSP#1'!B4" tooltip="Go to top" display="'2.1 Investments_ANSP#1'!B4" xr:uid="{00000000-0004-0000-1500-000036000000}"/>
    <hyperlink ref="A88" location="'2.1 Investments_ANSP#1'!B4" tooltip="Go to top" display="'2.1 Investments_ANSP#1'!B4" xr:uid="{00000000-0004-0000-1500-000037000000}"/>
    <hyperlink ref="A107" location="'2.1 Investments_ANSP#1'!B4" tooltip="Go to top" display="'2.1 Investments_ANSP#1'!B4" xr:uid="{00000000-0004-0000-1500-000038000000}"/>
    <hyperlink ref="A126" location="'2.1 Investments_ANSP#1'!B4" tooltip="Go to top" display="'2.1 Investments_ANSP#1'!B4" xr:uid="{00000000-0004-0000-1500-000039000000}"/>
    <hyperlink ref="A145" location="'2.1 Investments_ANSP#1'!B4" tooltip="Go to top" display="'2.1 Investments_ANSP#1'!B4" xr:uid="{00000000-0004-0000-1500-00003A000000}"/>
    <hyperlink ref="A164" location="'2.1 Investments_ANSP#1'!B4" tooltip="Go to top" display="'2.1 Investments_ANSP#1'!B4" xr:uid="{00000000-0004-0000-1500-00003B000000}"/>
    <hyperlink ref="A183" location="'2.1 Investments_ANSP#1'!B4" tooltip="Go to top" display="'2.1 Investments_ANSP#1'!B4" xr:uid="{00000000-0004-0000-1500-00003C000000}"/>
    <hyperlink ref="A202" location="'2.1 Investments_ANSP#1'!B4" tooltip="Go to top" display="'2.1 Investments_ANSP#1'!B4" xr:uid="{00000000-0004-0000-1500-00003D000000}"/>
    <hyperlink ref="A221" location="'2.1 Investments_ANSP#1'!B4" tooltip="Go to top" display="'2.1 Investments_ANSP#1'!B4" xr:uid="{00000000-0004-0000-1500-00003E000000}"/>
    <hyperlink ref="A240" location="'2.1 Investments_ANSP#1'!B4" tooltip="Go to top" display="'2.1 Investments_ANSP#1'!B4" xr:uid="{00000000-0004-0000-1500-00003F000000}"/>
    <hyperlink ref="A259" location="'2.1 Investments_ANSP#1'!B4" tooltip="Go to top" display="'2.1 Investments_ANSP#1'!B4" xr:uid="{00000000-0004-0000-1500-000040000000}"/>
    <hyperlink ref="A278" location="'2.1 Investments_ANSP#1'!B4" tooltip="Go to top" display="'2.1 Investments_ANSP#1'!B4" xr:uid="{00000000-0004-0000-1500-000041000000}"/>
    <hyperlink ref="A297" location="'2.1 Investments_ANSP#1'!B4" tooltip="Go to top" display="'2.1 Investments_ANSP#1'!B4" xr:uid="{00000000-0004-0000-1500-000042000000}"/>
    <hyperlink ref="A316" location="'2.1 Investments_ANSP#1'!B4" tooltip="Go to top" display="'2.1 Investments_ANSP#1'!B4" xr:uid="{00000000-0004-0000-1500-000043000000}"/>
    <hyperlink ref="A335" location="'2.1 Investments_ANSP#1'!B4" tooltip="Go to top" display="'2.1 Investments_ANSP#1'!B4" xr:uid="{00000000-0004-0000-1500-000044000000}"/>
    <hyperlink ref="A354" location="'2.1 Investments_ANSP#1'!B4" tooltip="Go to top" display="'2.1 Investments_ANSP#1'!B4" xr:uid="{00000000-0004-0000-1500-000045000000}"/>
    <hyperlink ref="A373" location="'2.1 Investments_ANSP#1'!B4" tooltip="Go to top" display="'2.1 Investments_ANSP#1'!B4" xr:uid="{00000000-0004-0000-1500-000046000000}"/>
    <hyperlink ref="A392" location="'2.1 Investments_ANSP#1'!B4" tooltip="Go to top" display="'2.1 Investments_ANSP#1'!B4" xr:uid="{00000000-0004-0000-1500-000047000000}"/>
    <hyperlink ref="A411" location="'2.1 Investments_ANSP#1'!B4" tooltip="Go to top" display="'2.1 Investments_ANSP#1'!B4" xr:uid="{00000000-0004-0000-1500-000048000000}"/>
    <hyperlink ref="A430" location="'2.1 Investments_ANSP#1'!B4" tooltip="Go to top" display="'2.1 Investments_ANSP#1'!B4" xr:uid="{00000000-0004-0000-1500-000049000000}"/>
    <hyperlink ref="A449" location="'2.1 Investments_ANSP#1'!B4" tooltip="Go to top" display="'2.1 Investments_ANSP#1'!B4" xr:uid="{00000000-0004-0000-1500-00004A000000}"/>
    <hyperlink ref="A468" location="'2.1 Investments_ANSP#1'!B4" tooltip="Go to top" display="'2.1 Investments_ANSP#1'!B4" xr:uid="{00000000-0004-0000-1500-00004B000000}"/>
    <hyperlink ref="A487" location="'2.1 Investments_ANSP#1'!B4" tooltip="Go to top" display="'2.1 Investments_ANSP#1'!B4" xr:uid="{00000000-0004-0000-1500-00004C000000}"/>
    <hyperlink ref="A506" location="'2.1 Investments_ANSP#1'!B4" tooltip="Go to top" display="'2.1 Investments_ANSP#1'!B4" xr:uid="{00000000-0004-0000-1500-00004D000000}"/>
    <hyperlink ref="A525" location="'2.1 Investments_ANSP#1'!B4" tooltip="Go to top" display="'2.1 Investments_ANSP#1'!B4" xr:uid="{00000000-0004-0000-1500-00004E000000}"/>
    <hyperlink ref="A544" location="'2.1 Investments_ANSP#1'!B4" tooltip="Go to top" display="'2.1 Investments_ANSP#1'!B4" xr:uid="{00000000-0004-0000-1500-00004F000000}"/>
    <hyperlink ref="A563" location="'2.1 Investments_ANSP#1'!B4" tooltip="Go to top" display="'2.1 Investments_ANSP#1'!B4" xr:uid="{00000000-0004-0000-1500-000050000000}"/>
    <hyperlink ref="A582" location="'2.1 Investments_ANSP#1'!B4" tooltip="Go to top" display="'2.1 Investments_ANSP#1'!B4" xr:uid="{00000000-0004-0000-1500-000051000000}"/>
    <hyperlink ref="A601" location="'2.1 Investments_ANSP#1'!B4" tooltip="Go to top" display="'2.1 Investments_ANSP#1'!B4" xr:uid="{00000000-0004-0000-1500-000052000000}"/>
    <hyperlink ref="A620" location="'2.1 Investments_ANSP#1'!B4" tooltip="Go to top" display="'2.1 Investments_ANSP#1'!B4" xr:uid="{00000000-0004-0000-1500-000053000000}"/>
    <hyperlink ref="A639" location="'2.1 Investments_ANSP#1'!B4" tooltip="Go to top" display="'2.1 Investments_ANSP#1'!B4" xr:uid="{00000000-0004-0000-1500-000054000000}"/>
    <hyperlink ref="A658" location="'2.1 Investments_ANSP#1'!B4" tooltip="Go to top" display="'2.1 Investments_ANSP#1'!B4" xr:uid="{00000000-0004-0000-1500-000055000000}"/>
    <hyperlink ref="A677" location="'2.1 Investments_ANSP#1'!B4" tooltip="Go to top" display="'2.1 Investments_ANSP#1'!B4" xr:uid="{00000000-0004-0000-1500-000056000000}"/>
    <hyperlink ref="A696" location="'2.1 Investments_ANSP#1'!B4" tooltip="Go to top" display="'2.1 Investments_ANSP#1'!B4" xr:uid="{00000000-0004-0000-1500-000057000000}"/>
    <hyperlink ref="A715" location="'2.1 Investments_ANSP#1'!B4" tooltip="Go to top" display="'2.1 Investments_ANSP#1'!B4" xr:uid="{00000000-0004-0000-1500-000058000000}"/>
    <hyperlink ref="A734" location="'2.1 Investments_ANSP#1'!B4" tooltip="Go to top" display="'2.1 Investments_ANSP#1'!B4" xr:uid="{00000000-0004-0000-1500-000059000000}"/>
    <hyperlink ref="A753" location="'2.1 Investments_ANSP#1'!B4" tooltip="Go to top" display="'2.1 Investments_ANSP#1'!B4" xr:uid="{00000000-0004-0000-1500-00005A000000}"/>
    <hyperlink ref="A772" location="'2.1 Investments_ANSP#1'!B4" tooltip="Go to top" display="'2.1 Investments_ANSP#1'!B4" xr:uid="{00000000-0004-0000-1500-00005B000000}"/>
    <hyperlink ref="A791" location="'2.1 Investments_ANSP#1'!B4" tooltip="Go to top" display="'2.1 Investments_ANSP#1'!B4" xr:uid="{00000000-0004-0000-1500-00005C000000}"/>
    <hyperlink ref="A810" location="'2.1 Investments_ANSP#1'!B4" tooltip="Go to top" display="'2.1 Investments_ANSP#1'!B4" xr:uid="{00000000-0004-0000-1500-00005D000000}"/>
    <hyperlink ref="A829" location="'2.1 Investments_ANSP#1'!B4" tooltip="Go to top" display="'2.1 Investments_ANSP#1'!B4" xr:uid="{00000000-0004-0000-1500-00005E000000}"/>
    <hyperlink ref="A848" location="'2.1 Investments_ANSP#1'!B4" tooltip="Go to top" display="'2.1 Investments_ANSP#1'!B4" xr:uid="{00000000-0004-0000-1500-00005F000000}"/>
    <hyperlink ref="A867" location="'2.1 Investments_ANSP#1'!B4" tooltip="Go to top" display="'2.1 Investments_ANSP#1'!B4" xr:uid="{00000000-0004-0000-1500-000060000000}"/>
    <hyperlink ref="A886" location="'2.1 Investments_ANSP#1'!B4" tooltip="Go to top" display="'2.1 Investments_ANSP#1'!B4" xr:uid="{00000000-0004-0000-1500-000061000000}"/>
    <hyperlink ref="A905" location="'2.1 Investments_ANSP#1'!B4" tooltip="Go to top" display="'2.1 Investments_ANSP#1'!B4" xr:uid="{00000000-0004-0000-1500-000062000000}"/>
    <hyperlink ref="A924" location="'2.1 Investments_ANSP#1'!B4" tooltip="Go to top" display="'2.1 Investments_ANSP#1'!B4" xr:uid="{00000000-0004-0000-15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93">
    <tabColor theme="2" tint="-0.249977111117893"/>
    <pageSetUpPr fitToPage="1"/>
  </sheetPr>
  <dimension ref="A1:Q1052"/>
  <sheetViews>
    <sheetView showGridLines="0" zoomScaleNormal="100" workbookViewId="0">
      <selection activeCell="B2" sqref="B2"/>
    </sheetView>
  </sheetViews>
  <sheetFormatPr defaultColWidth="9.140625" defaultRowHeight="15"/>
  <cols>
    <col min="1" max="1" width="9.140625" style="4"/>
    <col min="2" max="2" width="4.42578125" style="4" customWidth="1"/>
    <col min="3" max="3" width="27.42578125" style="4" customWidth="1"/>
    <col min="4" max="4" width="21" style="4" customWidth="1"/>
    <col min="5" max="5" width="15.28515625" style="4" customWidth="1"/>
    <col min="6" max="10" width="14.7109375" style="4" customWidth="1"/>
    <col min="11" max="11" width="15.42578125" style="4" customWidth="1"/>
    <col min="12" max="12" width="8" style="4" customWidth="1"/>
    <col min="13" max="13" width="9.140625" style="4" customWidth="1"/>
    <col min="14" max="14" width="14" style="4" customWidth="1"/>
    <col min="15" max="15" width="1.7109375" style="4" customWidth="1"/>
    <col min="16" max="16" width="15.7109375" style="4" customWidth="1"/>
    <col min="17" max="16384" width="9.140625" style="4"/>
  </cols>
  <sheetData>
    <row r="1" spans="1:17">
      <c r="C1" s="14"/>
    </row>
    <row r="2" spans="1:17" ht="21">
      <c r="A2" s="106"/>
      <c r="B2" s="42" t="str">
        <f>"2.10 - Investments - "&amp;'1.1 The situation'!$B$22</f>
        <v xml:space="preserve">2.10 - Investments - </v>
      </c>
      <c r="C2" s="120"/>
      <c r="D2" s="120"/>
      <c r="E2" s="120"/>
      <c r="F2" s="120"/>
      <c r="G2" s="120"/>
      <c r="H2" s="120"/>
      <c r="I2" s="120"/>
      <c r="J2" s="120"/>
      <c r="K2" s="120"/>
      <c r="L2" s="120"/>
      <c r="M2" s="120"/>
      <c r="N2" s="120"/>
    </row>
    <row r="3" spans="1:17" ht="15" customHeight="1">
      <c r="A3" s="74"/>
      <c r="B3" s="7"/>
      <c r="C3" s="31"/>
      <c r="D3" s="31"/>
      <c r="E3" s="31"/>
      <c r="F3" s="31"/>
      <c r="G3" s="31"/>
      <c r="H3" s="31"/>
      <c r="I3" s="31"/>
      <c r="J3" s="31"/>
      <c r="K3" s="31"/>
      <c r="L3" s="31"/>
      <c r="M3" s="31"/>
    </row>
    <row r="4" spans="1:17" ht="18" thickBot="1">
      <c r="B4" s="32" t="s">
        <v>1038</v>
      </c>
      <c r="C4" s="32"/>
      <c r="D4" s="32"/>
      <c r="E4" s="32"/>
      <c r="F4" s="32"/>
      <c r="G4" s="32"/>
      <c r="H4" s="32"/>
      <c r="I4" s="32"/>
      <c r="J4" s="32"/>
      <c r="K4" s="32"/>
      <c r="L4" s="32"/>
      <c r="M4" s="32"/>
      <c r="N4" s="32"/>
    </row>
    <row r="5" spans="1:17" ht="15" customHeight="1">
      <c r="B5" s="143"/>
      <c r="C5" s="192"/>
      <c r="D5" s="143"/>
      <c r="E5" s="143"/>
      <c r="F5" s="143"/>
      <c r="G5" s="143"/>
      <c r="H5" s="143"/>
      <c r="I5" s="143"/>
      <c r="J5" s="143"/>
      <c r="K5" s="143"/>
      <c r="L5" s="143"/>
      <c r="M5" s="143"/>
      <c r="N5" s="143"/>
    </row>
    <row r="6" spans="1:17" ht="15" customHeight="1">
      <c r="B6" s="765" t="s">
        <v>318</v>
      </c>
      <c r="C6" s="766"/>
      <c r="D6" s="849" t="s">
        <v>1378</v>
      </c>
      <c r="E6" s="850"/>
      <c r="F6" s="850"/>
      <c r="G6" s="144"/>
    </row>
    <row r="7" spans="1:17" ht="15" customHeight="1">
      <c r="B7" s="132"/>
      <c r="C7" s="132"/>
      <c r="D7" s="132"/>
      <c r="E7" s="132"/>
      <c r="F7" s="132"/>
    </row>
    <row r="8" spans="1:17" ht="30" customHeight="1">
      <c r="B8" s="673" t="s">
        <v>361</v>
      </c>
      <c r="C8" s="673" t="s">
        <v>324</v>
      </c>
      <c r="D8" s="673" t="s">
        <v>316</v>
      </c>
      <c r="E8" s="673" t="s">
        <v>993</v>
      </c>
      <c r="F8" s="673" t="s">
        <v>317</v>
      </c>
      <c r="G8" s="673"/>
      <c r="H8" s="673"/>
      <c r="I8" s="673"/>
      <c r="J8" s="673"/>
      <c r="K8" s="673" t="s">
        <v>40</v>
      </c>
      <c r="L8" s="673" t="s">
        <v>362</v>
      </c>
      <c r="M8" s="674"/>
      <c r="N8" s="673" t="s">
        <v>358</v>
      </c>
      <c r="O8" s="144"/>
      <c r="Q8" s="43"/>
    </row>
    <row r="9" spans="1:17" ht="29.25" customHeight="1">
      <c r="B9" s="673" t="s">
        <v>361</v>
      </c>
      <c r="C9" s="673"/>
      <c r="D9" s="673"/>
      <c r="E9" s="833"/>
      <c r="F9" s="198">
        <v>2020</v>
      </c>
      <c r="G9" s="198">
        <v>2021</v>
      </c>
      <c r="H9" s="198">
        <v>2022</v>
      </c>
      <c r="I9" s="198">
        <v>2023</v>
      </c>
      <c r="J9" s="198">
        <v>2024</v>
      </c>
      <c r="K9" s="673"/>
      <c r="L9" s="136" t="s">
        <v>303</v>
      </c>
      <c r="M9" s="136" t="s">
        <v>264</v>
      </c>
      <c r="N9" s="673"/>
      <c r="O9" s="144"/>
    </row>
    <row r="10" spans="1:17" hidden="1">
      <c r="A10" s="216"/>
      <c r="B10" s="217">
        <v>1</v>
      </c>
      <c r="C10" s="218"/>
      <c r="D10" s="205"/>
      <c r="E10" s="205"/>
      <c r="F10" s="205"/>
      <c r="G10" s="205"/>
      <c r="H10" s="205"/>
      <c r="I10" s="205"/>
      <c r="J10" s="205"/>
      <c r="K10" s="205"/>
      <c r="L10" s="219"/>
      <c r="M10" s="219"/>
      <c r="N10" s="220"/>
      <c r="O10" s="144"/>
    </row>
    <row r="11" spans="1:17" hidden="1">
      <c r="A11" s="216"/>
      <c r="B11" s="217">
        <v>2</v>
      </c>
      <c r="C11" s="218"/>
      <c r="D11" s="205"/>
      <c r="E11" s="205"/>
      <c r="F11" s="205"/>
      <c r="G11" s="205"/>
      <c r="H11" s="205"/>
      <c r="I11" s="205"/>
      <c r="J11" s="205"/>
      <c r="K11" s="205"/>
      <c r="L11" s="219"/>
      <c r="M11" s="219"/>
      <c r="N11" s="220"/>
      <c r="O11" s="144"/>
    </row>
    <row r="12" spans="1:17" hidden="1">
      <c r="A12" s="216"/>
      <c r="B12" s="217">
        <v>3</v>
      </c>
      <c r="C12" s="218"/>
      <c r="D12" s="205"/>
      <c r="E12" s="205"/>
      <c r="F12" s="205"/>
      <c r="G12" s="205"/>
      <c r="H12" s="205"/>
      <c r="I12" s="205"/>
      <c r="J12" s="205"/>
      <c r="K12" s="205"/>
      <c r="L12" s="219"/>
      <c r="M12" s="219"/>
      <c r="N12" s="220"/>
      <c r="O12" s="144"/>
    </row>
    <row r="13" spans="1:17" hidden="1">
      <c r="A13" s="216"/>
      <c r="B13" s="217">
        <v>4</v>
      </c>
      <c r="C13" s="218"/>
      <c r="D13" s="205"/>
      <c r="E13" s="205"/>
      <c r="F13" s="205"/>
      <c r="G13" s="205"/>
      <c r="H13" s="205"/>
      <c r="I13" s="205"/>
      <c r="J13" s="205"/>
      <c r="K13" s="205"/>
      <c r="L13" s="219"/>
      <c r="M13" s="219"/>
      <c r="N13" s="220"/>
      <c r="O13" s="144"/>
    </row>
    <row r="14" spans="1:17" hidden="1">
      <c r="A14" s="216"/>
      <c r="B14" s="217">
        <v>5</v>
      </c>
      <c r="C14" s="218"/>
      <c r="D14" s="205"/>
      <c r="E14" s="205"/>
      <c r="F14" s="205"/>
      <c r="G14" s="205"/>
      <c r="H14" s="205"/>
      <c r="I14" s="205"/>
      <c r="J14" s="205"/>
      <c r="K14" s="205"/>
      <c r="L14" s="219"/>
      <c r="M14" s="219"/>
      <c r="N14" s="220"/>
      <c r="O14" s="144"/>
    </row>
    <row r="15" spans="1:17" hidden="1">
      <c r="A15" s="216"/>
      <c r="B15" s="217">
        <v>6</v>
      </c>
      <c r="C15" s="218"/>
      <c r="D15" s="205"/>
      <c r="E15" s="205"/>
      <c r="F15" s="205"/>
      <c r="G15" s="205"/>
      <c r="H15" s="205"/>
      <c r="I15" s="205"/>
      <c r="J15" s="205"/>
      <c r="K15" s="205"/>
      <c r="L15" s="219"/>
      <c r="M15" s="219"/>
      <c r="N15" s="220"/>
      <c r="O15" s="144"/>
    </row>
    <row r="16" spans="1:17" hidden="1">
      <c r="A16" s="216"/>
      <c r="B16" s="217">
        <v>7</v>
      </c>
      <c r="C16" s="218"/>
      <c r="D16" s="205"/>
      <c r="E16" s="205"/>
      <c r="F16" s="205"/>
      <c r="G16" s="205"/>
      <c r="H16" s="205"/>
      <c r="I16" s="205"/>
      <c r="J16" s="205"/>
      <c r="K16" s="205"/>
      <c r="L16" s="219"/>
      <c r="M16" s="219"/>
      <c r="N16" s="220"/>
      <c r="O16" s="144"/>
    </row>
    <row r="17" spans="1:15" hidden="1">
      <c r="A17" s="216"/>
      <c r="B17" s="217">
        <v>8</v>
      </c>
      <c r="C17" s="218"/>
      <c r="D17" s="205"/>
      <c r="E17" s="205"/>
      <c r="F17" s="205"/>
      <c r="G17" s="205"/>
      <c r="H17" s="205"/>
      <c r="I17" s="205"/>
      <c r="J17" s="205"/>
      <c r="K17" s="205"/>
      <c r="L17" s="219"/>
      <c r="M17" s="219"/>
      <c r="N17" s="220"/>
      <c r="O17" s="144"/>
    </row>
    <row r="18" spans="1:15" ht="15" hidden="1" customHeight="1">
      <c r="A18" s="216"/>
      <c r="B18" s="217">
        <v>9</v>
      </c>
      <c r="C18" s="218"/>
      <c r="D18" s="205"/>
      <c r="E18" s="205"/>
      <c r="F18" s="205"/>
      <c r="G18" s="205"/>
      <c r="H18" s="205"/>
      <c r="I18" s="205"/>
      <c r="J18" s="205"/>
      <c r="K18" s="205"/>
      <c r="L18" s="219"/>
      <c r="M18" s="219"/>
      <c r="N18" s="220"/>
      <c r="O18" s="144"/>
    </row>
    <row r="19" spans="1:15" ht="15" hidden="1" customHeight="1">
      <c r="A19" s="216"/>
      <c r="B19" s="217">
        <v>10</v>
      </c>
      <c r="C19" s="218"/>
      <c r="D19" s="205"/>
      <c r="E19" s="205"/>
      <c r="F19" s="205"/>
      <c r="G19" s="205"/>
      <c r="H19" s="205"/>
      <c r="I19" s="205"/>
      <c r="J19" s="205"/>
      <c r="K19" s="205"/>
      <c r="L19" s="219"/>
      <c r="M19" s="219"/>
      <c r="N19" s="220"/>
      <c r="O19" s="144"/>
    </row>
    <row r="20" spans="1:15" hidden="1">
      <c r="A20" s="216"/>
      <c r="B20" s="217">
        <v>11</v>
      </c>
      <c r="C20" s="218"/>
      <c r="D20" s="205"/>
      <c r="E20" s="205"/>
      <c r="F20" s="205"/>
      <c r="G20" s="205"/>
      <c r="H20" s="205"/>
      <c r="I20" s="205"/>
      <c r="J20" s="205"/>
      <c r="K20" s="205"/>
      <c r="L20" s="219"/>
      <c r="M20" s="219"/>
      <c r="N20" s="220"/>
      <c r="O20" s="144"/>
    </row>
    <row r="21" spans="1:15" ht="15" hidden="1" customHeight="1">
      <c r="A21" s="216"/>
      <c r="B21" s="217">
        <v>12</v>
      </c>
      <c r="C21" s="218"/>
      <c r="D21" s="205"/>
      <c r="E21" s="205"/>
      <c r="F21" s="205"/>
      <c r="G21" s="205"/>
      <c r="H21" s="205"/>
      <c r="I21" s="205"/>
      <c r="J21" s="205"/>
      <c r="K21" s="205"/>
      <c r="L21" s="219"/>
      <c r="M21" s="219"/>
      <c r="N21" s="220"/>
      <c r="O21" s="144"/>
    </row>
    <row r="22" spans="1:15" hidden="1">
      <c r="A22" s="216"/>
      <c r="B22" s="217">
        <v>13</v>
      </c>
      <c r="C22" s="218"/>
      <c r="D22" s="205"/>
      <c r="E22" s="205"/>
      <c r="F22" s="205"/>
      <c r="G22" s="205"/>
      <c r="H22" s="205"/>
      <c r="I22" s="205"/>
      <c r="J22" s="205"/>
      <c r="K22" s="205"/>
      <c r="L22" s="219"/>
      <c r="M22" s="219"/>
      <c r="N22" s="220"/>
      <c r="O22" s="144"/>
    </row>
    <row r="23" spans="1:15" hidden="1">
      <c r="A23" s="216"/>
      <c r="B23" s="217">
        <v>14</v>
      </c>
      <c r="C23" s="218"/>
      <c r="D23" s="205"/>
      <c r="E23" s="205"/>
      <c r="F23" s="205"/>
      <c r="G23" s="205"/>
      <c r="H23" s="205"/>
      <c r="I23" s="205"/>
      <c r="J23" s="205"/>
      <c r="K23" s="205"/>
      <c r="L23" s="219"/>
      <c r="M23" s="219"/>
      <c r="N23" s="220"/>
      <c r="O23" s="144"/>
    </row>
    <row r="24" spans="1:15" hidden="1">
      <c r="A24" s="216"/>
      <c r="B24" s="217">
        <v>15</v>
      </c>
      <c r="C24" s="218"/>
      <c r="D24" s="205"/>
      <c r="E24" s="205"/>
      <c r="F24" s="205"/>
      <c r="G24" s="205"/>
      <c r="H24" s="205"/>
      <c r="I24" s="205"/>
      <c r="J24" s="205"/>
      <c r="K24" s="205"/>
      <c r="L24" s="219"/>
      <c r="M24" s="219"/>
      <c r="N24" s="220"/>
      <c r="O24" s="144"/>
    </row>
    <row r="25" spans="1:15" hidden="1">
      <c r="A25" s="216"/>
      <c r="B25" s="217">
        <v>16</v>
      </c>
      <c r="C25" s="218"/>
      <c r="D25" s="205"/>
      <c r="E25" s="205"/>
      <c r="F25" s="205"/>
      <c r="G25" s="205"/>
      <c r="H25" s="205"/>
      <c r="I25" s="205"/>
      <c r="J25" s="205"/>
      <c r="K25" s="205"/>
      <c r="L25" s="219"/>
      <c r="M25" s="219"/>
      <c r="N25" s="220"/>
      <c r="O25" s="144"/>
    </row>
    <row r="26" spans="1:15" hidden="1">
      <c r="A26" s="216"/>
      <c r="B26" s="217">
        <v>17</v>
      </c>
      <c r="C26" s="218"/>
      <c r="D26" s="205"/>
      <c r="E26" s="205"/>
      <c r="F26" s="205"/>
      <c r="G26" s="205"/>
      <c r="H26" s="205"/>
      <c r="I26" s="205"/>
      <c r="J26" s="205"/>
      <c r="K26" s="205"/>
      <c r="L26" s="219"/>
      <c r="M26" s="219"/>
      <c r="N26" s="220"/>
      <c r="O26" s="144"/>
    </row>
    <row r="27" spans="1:15" hidden="1">
      <c r="A27" s="216"/>
      <c r="B27" s="217">
        <v>18</v>
      </c>
      <c r="C27" s="218"/>
      <c r="D27" s="205"/>
      <c r="E27" s="205"/>
      <c r="F27" s="205"/>
      <c r="G27" s="205"/>
      <c r="H27" s="205"/>
      <c r="I27" s="205"/>
      <c r="J27" s="205"/>
      <c r="K27" s="205"/>
      <c r="L27" s="219"/>
      <c r="M27" s="219"/>
      <c r="N27" s="220"/>
      <c r="O27" s="144"/>
    </row>
    <row r="28" spans="1:15" hidden="1">
      <c r="A28" s="216"/>
      <c r="B28" s="217">
        <v>19</v>
      </c>
      <c r="C28" s="218"/>
      <c r="D28" s="205"/>
      <c r="E28" s="205"/>
      <c r="F28" s="205"/>
      <c r="G28" s="205"/>
      <c r="H28" s="205"/>
      <c r="I28" s="205"/>
      <c r="J28" s="205"/>
      <c r="K28" s="205"/>
      <c r="L28" s="219"/>
      <c r="M28" s="219"/>
      <c r="N28" s="220"/>
      <c r="O28" s="144"/>
    </row>
    <row r="29" spans="1:15" hidden="1">
      <c r="A29" s="216"/>
      <c r="B29" s="217">
        <v>20</v>
      </c>
      <c r="C29" s="218"/>
      <c r="D29" s="205"/>
      <c r="E29" s="205"/>
      <c r="F29" s="205"/>
      <c r="G29" s="205"/>
      <c r="H29" s="205"/>
      <c r="I29" s="205"/>
      <c r="J29" s="205"/>
      <c r="K29" s="205"/>
      <c r="L29" s="219"/>
      <c r="M29" s="219"/>
      <c r="N29" s="220"/>
      <c r="O29" s="144"/>
    </row>
    <row r="30" spans="1:15" hidden="1">
      <c r="A30" s="216"/>
      <c r="B30" s="217">
        <v>21</v>
      </c>
      <c r="C30" s="218"/>
      <c r="D30" s="205"/>
      <c r="E30" s="205"/>
      <c r="F30" s="205"/>
      <c r="G30" s="205"/>
      <c r="H30" s="205"/>
      <c r="I30" s="205"/>
      <c r="J30" s="205"/>
      <c r="K30" s="205"/>
      <c r="L30" s="219"/>
      <c r="M30" s="219"/>
      <c r="N30" s="220"/>
      <c r="O30" s="144"/>
    </row>
    <row r="31" spans="1:15" hidden="1">
      <c r="A31" s="216"/>
      <c r="B31" s="217">
        <v>22</v>
      </c>
      <c r="C31" s="218"/>
      <c r="D31" s="205"/>
      <c r="E31" s="205"/>
      <c r="F31" s="205"/>
      <c r="G31" s="205"/>
      <c r="H31" s="205"/>
      <c r="I31" s="205"/>
      <c r="J31" s="205"/>
      <c r="K31" s="205"/>
      <c r="L31" s="219"/>
      <c r="M31" s="219"/>
      <c r="N31" s="220"/>
      <c r="O31" s="144"/>
    </row>
    <row r="32" spans="1:15" hidden="1">
      <c r="A32" s="216"/>
      <c r="B32" s="217">
        <v>23</v>
      </c>
      <c r="C32" s="218"/>
      <c r="D32" s="205"/>
      <c r="E32" s="205"/>
      <c r="F32" s="205"/>
      <c r="G32" s="205"/>
      <c r="H32" s="205"/>
      <c r="I32" s="205"/>
      <c r="J32" s="205"/>
      <c r="K32" s="205"/>
      <c r="L32" s="219"/>
      <c r="M32" s="219"/>
      <c r="N32" s="220"/>
      <c r="O32" s="144"/>
    </row>
    <row r="33" spans="1:15" hidden="1">
      <c r="A33" s="216"/>
      <c r="B33" s="217">
        <v>24</v>
      </c>
      <c r="C33" s="218"/>
      <c r="D33" s="205"/>
      <c r="E33" s="205"/>
      <c r="F33" s="205"/>
      <c r="G33" s="205"/>
      <c r="H33" s="205"/>
      <c r="I33" s="205"/>
      <c r="J33" s="205"/>
      <c r="K33" s="205"/>
      <c r="L33" s="219"/>
      <c r="M33" s="219"/>
      <c r="N33" s="220"/>
      <c r="O33" s="144"/>
    </row>
    <row r="34" spans="1:15" hidden="1">
      <c r="A34" s="216"/>
      <c r="B34" s="217">
        <v>25</v>
      </c>
      <c r="C34" s="218"/>
      <c r="D34" s="205"/>
      <c r="E34" s="205"/>
      <c r="F34" s="205"/>
      <c r="G34" s="205"/>
      <c r="H34" s="205"/>
      <c r="I34" s="205"/>
      <c r="J34" s="205"/>
      <c r="K34" s="205"/>
      <c r="L34" s="219"/>
      <c r="M34" s="219"/>
      <c r="N34" s="220"/>
      <c r="O34" s="144"/>
    </row>
    <row r="35" spans="1:15" hidden="1">
      <c r="A35" s="216"/>
      <c r="B35" s="217">
        <v>26</v>
      </c>
      <c r="C35" s="218"/>
      <c r="D35" s="205"/>
      <c r="E35" s="205"/>
      <c r="F35" s="205"/>
      <c r="G35" s="205"/>
      <c r="H35" s="205"/>
      <c r="I35" s="205"/>
      <c r="J35" s="205"/>
      <c r="K35" s="205"/>
      <c r="L35" s="219"/>
      <c r="M35" s="219"/>
      <c r="N35" s="220"/>
      <c r="O35" s="144"/>
    </row>
    <row r="36" spans="1:15" hidden="1">
      <c r="A36" s="216"/>
      <c r="B36" s="217">
        <v>27</v>
      </c>
      <c r="C36" s="218"/>
      <c r="D36" s="205"/>
      <c r="E36" s="205"/>
      <c r="F36" s="205"/>
      <c r="G36" s="205"/>
      <c r="H36" s="205"/>
      <c r="I36" s="205"/>
      <c r="J36" s="205"/>
      <c r="K36" s="205"/>
      <c r="L36" s="219"/>
      <c r="M36" s="219"/>
      <c r="N36" s="220"/>
      <c r="O36" s="144"/>
    </row>
    <row r="37" spans="1:15" hidden="1">
      <c r="A37" s="216"/>
      <c r="B37" s="217">
        <v>28</v>
      </c>
      <c r="C37" s="218"/>
      <c r="D37" s="205"/>
      <c r="E37" s="205"/>
      <c r="F37" s="205"/>
      <c r="G37" s="205"/>
      <c r="H37" s="205"/>
      <c r="I37" s="205"/>
      <c r="J37" s="205"/>
      <c r="K37" s="205"/>
      <c r="L37" s="219"/>
      <c r="M37" s="219"/>
      <c r="N37" s="220"/>
      <c r="O37" s="144"/>
    </row>
    <row r="38" spans="1:15" hidden="1">
      <c r="A38" s="216"/>
      <c r="B38" s="217">
        <v>29</v>
      </c>
      <c r="C38" s="218"/>
      <c r="D38" s="205"/>
      <c r="E38" s="205"/>
      <c r="F38" s="205"/>
      <c r="G38" s="205"/>
      <c r="H38" s="205"/>
      <c r="I38" s="205"/>
      <c r="J38" s="205"/>
      <c r="K38" s="205"/>
      <c r="L38" s="219"/>
      <c r="M38" s="219"/>
      <c r="N38" s="220"/>
      <c r="O38" s="144"/>
    </row>
    <row r="39" spans="1:15" hidden="1">
      <c r="A39" s="216"/>
      <c r="B39" s="217">
        <v>30</v>
      </c>
      <c r="C39" s="218"/>
      <c r="D39" s="205"/>
      <c r="E39" s="205"/>
      <c r="F39" s="205"/>
      <c r="G39" s="205"/>
      <c r="H39" s="205"/>
      <c r="I39" s="205"/>
      <c r="J39" s="205"/>
      <c r="K39" s="205"/>
      <c r="L39" s="219"/>
      <c r="M39" s="219"/>
      <c r="N39" s="220"/>
      <c r="O39" s="144"/>
    </row>
    <row r="40" spans="1:15" hidden="1">
      <c r="A40" s="216"/>
      <c r="B40" s="217">
        <v>31</v>
      </c>
      <c r="C40" s="218"/>
      <c r="D40" s="205"/>
      <c r="E40" s="205"/>
      <c r="F40" s="205"/>
      <c r="G40" s="205"/>
      <c r="H40" s="205"/>
      <c r="I40" s="205"/>
      <c r="J40" s="205"/>
      <c r="K40" s="205"/>
      <c r="L40" s="219"/>
      <c r="M40" s="219"/>
      <c r="N40" s="220"/>
      <c r="O40" s="144"/>
    </row>
    <row r="41" spans="1:15" hidden="1">
      <c r="A41" s="216"/>
      <c r="B41" s="217">
        <v>32</v>
      </c>
      <c r="C41" s="218"/>
      <c r="D41" s="205"/>
      <c r="E41" s="205"/>
      <c r="F41" s="205"/>
      <c r="G41" s="205"/>
      <c r="H41" s="205"/>
      <c r="I41" s="205"/>
      <c r="J41" s="205"/>
      <c r="K41" s="205"/>
      <c r="L41" s="219"/>
      <c r="M41" s="219"/>
      <c r="N41" s="220"/>
      <c r="O41" s="144"/>
    </row>
    <row r="42" spans="1:15" hidden="1">
      <c r="A42" s="216"/>
      <c r="B42" s="217">
        <v>33</v>
      </c>
      <c r="C42" s="218"/>
      <c r="D42" s="205"/>
      <c r="E42" s="205"/>
      <c r="F42" s="205"/>
      <c r="G42" s="205"/>
      <c r="H42" s="205"/>
      <c r="I42" s="205"/>
      <c r="J42" s="205"/>
      <c r="K42" s="205"/>
      <c r="L42" s="219"/>
      <c r="M42" s="219"/>
      <c r="N42" s="220"/>
      <c r="O42" s="144"/>
    </row>
    <row r="43" spans="1:15" hidden="1">
      <c r="A43" s="216"/>
      <c r="B43" s="217">
        <v>34</v>
      </c>
      <c r="C43" s="218"/>
      <c r="D43" s="205"/>
      <c r="E43" s="205"/>
      <c r="F43" s="205"/>
      <c r="G43" s="205"/>
      <c r="H43" s="205"/>
      <c r="I43" s="205"/>
      <c r="J43" s="205"/>
      <c r="K43" s="205"/>
      <c r="L43" s="219"/>
      <c r="M43" s="219"/>
      <c r="N43" s="220"/>
      <c r="O43" s="144"/>
    </row>
    <row r="44" spans="1:15" hidden="1">
      <c r="A44" s="216"/>
      <c r="B44" s="217">
        <v>35</v>
      </c>
      <c r="C44" s="218"/>
      <c r="D44" s="205"/>
      <c r="E44" s="205"/>
      <c r="F44" s="205"/>
      <c r="G44" s="205"/>
      <c r="H44" s="205"/>
      <c r="I44" s="205"/>
      <c r="J44" s="205"/>
      <c r="K44" s="205"/>
      <c r="L44" s="219"/>
      <c r="M44" s="219"/>
      <c r="N44" s="220"/>
      <c r="O44" s="144"/>
    </row>
    <row r="45" spans="1:15" hidden="1">
      <c r="A45" s="216"/>
      <c r="B45" s="217">
        <v>36</v>
      </c>
      <c r="C45" s="218"/>
      <c r="D45" s="205"/>
      <c r="E45" s="205"/>
      <c r="F45" s="205"/>
      <c r="G45" s="205"/>
      <c r="H45" s="205"/>
      <c r="I45" s="205"/>
      <c r="J45" s="205"/>
      <c r="K45" s="205"/>
      <c r="L45" s="219"/>
      <c r="M45" s="219"/>
      <c r="N45" s="220"/>
      <c r="O45" s="144"/>
    </row>
    <row r="46" spans="1:15" hidden="1">
      <c r="A46" s="216"/>
      <c r="B46" s="217">
        <v>37</v>
      </c>
      <c r="C46" s="218"/>
      <c r="D46" s="205"/>
      <c r="E46" s="205"/>
      <c r="F46" s="205"/>
      <c r="G46" s="205"/>
      <c r="H46" s="205"/>
      <c r="I46" s="205"/>
      <c r="J46" s="205"/>
      <c r="K46" s="205"/>
      <c r="L46" s="219"/>
      <c r="M46" s="219"/>
      <c r="N46" s="220"/>
      <c r="O46" s="144"/>
    </row>
    <row r="47" spans="1:15" hidden="1">
      <c r="A47" s="216"/>
      <c r="B47" s="217">
        <v>38</v>
      </c>
      <c r="C47" s="218"/>
      <c r="D47" s="205"/>
      <c r="E47" s="205"/>
      <c r="F47" s="205"/>
      <c r="G47" s="205"/>
      <c r="H47" s="205"/>
      <c r="I47" s="205"/>
      <c r="J47" s="205"/>
      <c r="K47" s="205"/>
      <c r="L47" s="219"/>
      <c r="M47" s="219"/>
      <c r="N47" s="220"/>
      <c r="O47" s="144"/>
    </row>
    <row r="48" spans="1:15" hidden="1">
      <c r="A48" s="216"/>
      <c r="B48" s="217">
        <v>39</v>
      </c>
      <c r="C48" s="218"/>
      <c r="D48" s="205"/>
      <c r="E48" s="205"/>
      <c r="F48" s="205"/>
      <c r="G48" s="205"/>
      <c r="H48" s="205"/>
      <c r="I48" s="205"/>
      <c r="J48" s="205"/>
      <c r="K48" s="205"/>
      <c r="L48" s="219"/>
      <c r="M48" s="219"/>
      <c r="N48" s="220"/>
      <c r="O48" s="144"/>
    </row>
    <row r="49" spans="1:15" hidden="1">
      <c r="A49" s="216"/>
      <c r="B49" s="217">
        <v>40</v>
      </c>
      <c r="C49" s="218"/>
      <c r="D49" s="205"/>
      <c r="E49" s="205"/>
      <c r="F49" s="205"/>
      <c r="G49" s="205"/>
      <c r="H49" s="205"/>
      <c r="I49" s="205"/>
      <c r="J49" s="205"/>
      <c r="K49" s="205"/>
      <c r="L49" s="219"/>
      <c r="M49" s="219"/>
      <c r="N49" s="220"/>
      <c r="O49" s="144"/>
    </row>
    <row r="50" spans="1:15" hidden="1">
      <c r="A50" s="216"/>
      <c r="B50" s="217">
        <v>41</v>
      </c>
      <c r="C50" s="218"/>
      <c r="D50" s="205"/>
      <c r="E50" s="205"/>
      <c r="F50" s="205"/>
      <c r="G50" s="205"/>
      <c r="H50" s="205"/>
      <c r="I50" s="205"/>
      <c r="J50" s="205"/>
      <c r="K50" s="205"/>
      <c r="L50" s="219"/>
      <c r="M50" s="219"/>
      <c r="N50" s="220"/>
      <c r="O50" s="144"/>
    </row>
    <row r="51" spans="1:15" hidden="1">
      <c r="A51" s="216"/>
      <c r="B51" s="217">
        <v>42</v>
      </c>
      <c r="C51" s="218"/>
      <c r="D51" s="205"/>
      <c r="E51" s="205"/>
      <c r="F51" s="205"/>
      <c r="G51" s="205"/>
      <c r="H51" s="205"/>
      <c r="I51" s="205"/>
      <c r="J51" s="205"/>
      <c r="K51" s="205"/>
      <c r="L51" s="219"/>
      <c r="M51" s="219"/>
      <c r="N51" s="220"/>
      <c r="O51" s="144"/>
    </row>
    <row r="52" spans="1:15" hidden="1">
      <c r="A52" s="216"/>
      <c r="B52" s="217">
        <v>43</v>
      </c>
      <c r="C52" s="218"/>
      <c r="D52" s="205"/>
      <c r="E52" s="205"/>
      <c r="F52" s="205"/>
      <c r="G52" s="205"/>
      <c r="H52" s="205"/>
      <c r="I52" s="205"/>
      <c r="J52" s="205"/>
      <c r="K52" s="205"/>
      <c r="L52" s="219"/>
      <c r="M52" s="219"/>
      <c r="N52" s="220"/>
      <c r="O52" s="144"/>
    </row>
    <row r="53" spans="1:15" hidden="1">
      <c r="A53" s="216"/>
      <c r="B53" s="217">
        <v>44</v>
      </c>
      <c r="C53" s="218"/>
      <c r="D53" s="205"/>
      <c r="E53" s="205"/>
      <c r="F53" s="205"/>
      <c r="G53" s="205"/>
      <c r="H53" s="205"/>
      <c r="I53" s="205"/>
      <c r="J53" s="205"/>
      <c r="K53" s="205"/>
      <c r="L53" s="219"/>
      <c r="M53" s="219"/>
      <c r="N53" s="220"/>
      <c r="O53" s="144"/>
    </row>
    <row r="54" spans="1:15" hidden="1">
      <c r="A54" s="216"/>
      <c r="B54" s="217">
        <v>45</v>
      </c>
      <c r="C54" s="218"/>
      <c r="D54" s="205"/>
      <c r="E54" s="205"/>
      <c r="F54" s="205"/>
      <c r="G54" s="205"/>
      <c r="H54" s="205"/>
      <c r="I54" s="205"/>
      <c r="J54" s="205"/>
      <c r="K54" s="205"/>
      <c r="L54" s="219"/>
      <c r="M54" s="219"/>
      <c r="N54" s="220"/>
      <c r="O54" s="144"/>
    </row>
    <row r="55" spans="1:15" hidden="1">
      <c r="A55" s="216"/>
      <c r="B55" s="217">
        <v>46</v>
      </c>
      <c r="C55" s="218"/>
      <c r="D55" s="205"/>
      <c r="E55" s="205"/>
      <c r="F55" s="205"/>
      <c r="G55" s="205"/>
      <c r="H55" s="205"/>
      <c r="I55" s="205"/>
      <c r="J55" s="205"/>
      <c r="K55" s="205"/>
      <c r="L55" s="219"/>
      <c r="M55" s="219"/>
      <c r="N55" s="220"/>
      <c r="O55" s="144"/>
    </row>
    <row r="56" spans="1:15" hidden="1">
      <c r="A56" s="216"/>
      <c r="B56" s="217">
        <v>47</v>
      </c>
      <c r="C56" s="218"/>
      <c r="D56" s="205"/>
      <c r="E56" s="205"/>
      <c r="F56" s="205"/>
      <c r="G56" s="205"/>
      <c r="H56" s="205"/>
      <c r="I56" s="205"/>
      <c r="J56" s="205"/>
      <c r="K56" s="205"/>
      <c r="L56" s="219"/>
      <c r="M56" s="219"/>
      <c r="N56" s="220"/>
      <c r="O56" s="144"/>
    </row>
    <row r="57" spans="1:15" hidden="1">
      <c r="A57" s="216"/>
      <c r="B57" s="217">
        <v>48</v>
      </c>
      <c r="C57" s="218"/>
      <c r="D57" s="205"/>
      <c r="E57" s="205"/>
      <c r="F57" s="205"/>
      <c r="G57" s="205"/>
      <c r="H57" s="205"/>
      <c r="I57" s="205"/>
      <c r="J57" s="205"/>
      <c r="K57" s="205"/>
      <c r="L57" s="219"/>
      <c r="M57" s="219"/>
      <c r="N57" s="220"/>
      <c r="O57" s="144"/>
    </row>
    <row r="58" spans="1:15" hidden="1">
      <c r="A58" s="216"/>
      <c r="B58" s="217">
        <v>49</v>
      </c>
      <c r="C58" s="218"/>
      <c r="D58" s="205"/>
      <c r="E58" s="205"/>
      <c r="F58" s="205"/>
      <c r="G58" s="205"/>
      <c r="H58" s="205"/>
      <c r="I58" s="205"/>
      <c r="J58" s="205"/>
      <c r="K58" s="205"/>
      <c r="L58" s="219"/>
      <c r="M58" s="219"/>
      <c r="N58" s="220"/>
      <c r="O58" s="144"/>
    </row>
    <row r="59" spans="1:15" hidden="1">
      <c r="A59" s="216"/>
      <c r="B59" s="217">
        <v>50</v>
      </c>
      <c r="C59" s="218"/>
      <c r="D59" s="205"/>
      <c r="E59" s="205"/>
      <c r="F59" s="205"/>
      <c r="G59" s="205"/>
      <c r="H59" s="205"/>
      <c r="I59" s="205"/>
      <c r="J59" s="205"/>
      <c r="K59" s="205"/>
      <c r="L59" s="219"/>
      <c r="M59" s="219"/>
      <c r="N59" s="220"/>
      <c r="O59" s="144"/>
    </row>
    <row r="60" spans="1:15" ht="28.5" customHeight="1">
      <c r="B60" s="654" t="s">
        <v>319</v>
      </c>
      <c r="C60" s="655"/>
      <c r="D60" s="221">
        <f t="shared" ref="D60:J60" si="0">SUM(D10:D59)</f>
        <v>0</v>
      </c>
      <c r="E60" s="221">
        <f t="shared" si="0"/>
        <v>0</v>
      </c>
      <c r="F60" s="221">
        <f t="shared" si="0"/>
        <v>0</v>
      </c>
      <c r="G60" s="221">
        <f t="shared" si="0"/>
        <v>0</v>
      </c>
      <c r="H60" s="221">
        <f t="shared" si="0"/>
        <v>0</v>
      </c>
      <c r="I60" s="221">
        <f t="shared" si="0"/>
        <v>0</v>
      </c>
      <c r="J60" s="221">
        <f t="shared" si="0"/>
        <v>0</v>
      </c>
      <c r="K60" s="176"/>
      <c r="L60" s="176"/>
      <c r="M60" s="176"/>
      <c r="N60" s="176"/>
      <c r="O60" s="144"/>
    </row>
    <row r="61" spans="1:15" ht="30" customHeight="1">
      <c r="B61" s="654" t="s">
        <v>320</v>
      </c>
      <c r="C61" s="655"/>
      <c r="D61" s="205"/>
      <c r="E61" s="205"/>
      <c r="F61" s="205"/>
      <c r="G61" s="205"/>
      <c r="H61" s="205"/>
      <c r="I61" s="205"/>
      <c r="J61" s="205"/>
      <c r="K61" s="176"/>
      <c r="L61" s="219"/>
      <c r="M61" s="219"/>
      <c r="N61" s="176"/>
      <c r="O61" s="144"/>
    </row>
    <row r="62" spans="1:15">
      <c r="B62" s="654" t="s">
        <v>321</v>
      </c>
      <c r="C62" s="655"/>
      <c r="D62" s="176"/>
      <c r="E62" s="176"/>
      <c r="F62" s="205"/>
      <c r="G62" s="205"/>
      <c r="H62" s="205"/>
      <c r="I62" s="205"/>
      <c r="J62" s="205"/>
      <c r="K62" s="176"/>
      <c r="L62" s="219"/>
      <c r="M62" s="219"/>
      <c r="N62" s="176"/>
      <c r="O62" s="144"/>
    </row>
    <row r="63" spans="1:15" ht="30" customHeight="1">
      <c r="B63" s="654" t="s">
        <v>357</v>
      </c>
      <c r="C63" s="655"/>
      <c r="D63" s="221">
        <f>SUM(D60:D62)</f>
        <v>0</v>
      </c>
      <c r="E63" s="221">
        <f>SUM(E60:E62)</f>
        <v>0</v>
      </c>
      <c r="F63" s="221">
        <f t="shared" ref="F63:J63" si="1">SUM(F60:F62)</f>
        <v>0</v>
      </c>
      <c r="G63" s="221">
        <f t="shared" si="1"/>
        <v>0</v>
      </c>
      <c r="H63" s="221">
        <f t="shared" si="1"/>
        <v>0</v>
      </c>
      <c r="I63" s="221">
        <f t="shared" si="1"/>
        <v>0</v>
      </c>
      <c r="J63" s="221">
        <f t="shared" si="1"/>
        <v>0</v>
      </c>
      <c r="K63" s="176"/>
      <c r="L63" s="176"/>
      <c r="M63" s="176"/>
      <c r="N63" s="176"/>
      <c r="O63" s="144"/>
    </row>
    <row r="64" spans="1:15" ht="18.75" customHeight="1">
      <c r="B64" s="778" t="s">
        <v>994</v>
      </c>
      <c r="C64" s="778"/>
      <c r="D64" s="778"/>
      <c r="E64" s="778"/>
      <c r="F64" s="778"/>
      <c r="G64" s="778"/>
      <c r="H64" s="778"/>
      <c r="I64" s="778"/>
      <c r="J64" s="778"/>
      <c r="K64" s="778"/>
      <c r="L64" s="132"/>
      <c r="M64" s="132"/>
      <c r="N64" s="132"/>
    </row>
    <row r="65" spans="1:14" ht="18.75" customHeight="1"/>
    <row r="66" spans="1:14" ht="23.25" customHeight="1">
      <c r="B66" s="32" t="s">
        <v>1037</v>
      </c>
      <c r="C66" s="32"/>
      <c r="D66" s="32"/>
      <c r="E66" s="32"/>
      <c r="F66" s="32"/>
      <c r="G66" s="32"/>
      <c r="H66" s="32"/>
      <c r="I66" s="32"/>
      <c r="J66" s="32"/>
      <c r="K66" s="32"/>
      <c r="L66" s="32"/>
      <c r="M66" s="32"/>
      <c r="N66" s="32"/>
    </row>
    <row r="67" spans="1:14" ht="17.25">
      <c r="B67" s="842" t="s">
        <v>325</v>
      </c>
      <c r="C67" s="842"/>
      <c r="D67" s="842"/>
      <c r="E67" s="842"/>
      <c r="F67" s="842"/>
      <c r="G67" s="842"/>
      <c r="H67" s="842"/>
      <c r="I67" s="842"/>
      <c r="J67" s="842"/>
      <c r="K67" s="842"/>
      <c r="M67" s="32"/>
    </row>
    <row r="69" spans="1:14" s="15" customFormat="1" ht="15" hidden="1" customHeight="1">
      <c r="A69" s="6" t="s">
        <v>693</v>
      </c>
      <c r="C69" s="798" t="s">
        <v>323</v>
      </c>
      <c r="D69" s="799"/>
      <c r="E69" s="800" t="str">
        <f>IF(C10="","",C10)</f>
        <v/>
      </c>
      <c r="F69" s="801"/>
      <c r="G69" s="801"/>
      <c r="H69" s="801"/>
      <c r="I69" s="801"/>
      <c r="J69" s="654" t="s">
        <v>322</v>
      </c>
      <c r="K69" s="655"/>
      <c r="L69" s="802">
        <f>D10</f>
        <v>0</v>
      </c>
      <c r="M69" s="803"/>
      <c r="N69" s="222"/>
    </row>
    <row r="70" spans="1:14" ht="45" hidden="1" customHeight="1">
      <c r="C70" s="654" t="s">
        <v>995</v>
      </c>
      <c r="D70" s="655"/>
      <c r="E70" s="808"/>
      <c r="F70" s="809"/>
      <c r="G70" s="809"/>
      <c r="H70" s="809"/>
      <c r="I70" s="809"/>
      <c r="J70" s="809"/>
      <c r="K70" s="809"/>
      <c r="L70" s="809"/>
      <c r="M70" s="809"/>
      <c r="N70" s="144"/>
    </row>
    <row r="71" spans="1:14" ht="60" hidden="1" customHeight="1">
      <c r="C71" s="810" t="str">
        <f>"The investment is mandated by a SES Regulation (i.e. PCP/CP1/Interoperability)?" &amp; IF($E71="yes"," Ref. to the Regulation and, if funded through Union assistance programmes, ref. to the relevant grant agreement.)","")</f>
        <v>The investment is mandated by a SES Regulation (i.e. PCP/CP1/Interoperability)?</v>
      </c>
      <c r="D71" s="811"/>
      <c r="E71" s="398" t="s">
        <v>240</v>
      </c>
      <c r="F71" s="632"/>
      <c r="G71" s="633"/>
      <c r="H71" s="633"/>
      <c r="I71" s="633"/>
      <c r="J71" s="633"/>
      <c r="K71" s="633"/>
      <c r="L71" s="633"/>
      <c r="M71" s="724"/>
      <c r="N71" s="144"/>
    </row>
    <row r="72" spans="1:14" ht="15" hidden="1" customHeight="1">
      <c r="C72" s="654" t="s">
        <v>1725</v>
      </c>
      <c r="D72" s="825"/>
      <c r="E72" s="417" t="s">
        <v>1550</v>
      </c>
      <c r="F72" s="417" t="s">
        <v>1551</v>
      </c>
      <c r="G72" s="417" t="s">
        <v>1552</v>
      </c>
      <c r="H72" s="417" t="s">
        <v>1553</v>
      </c>
      <c r="I72" s="417" t="s">
        <v>1554</v>
      </c>
      <c r="J72" s="417" t="s">
        <v>1555</v>
      </c>
      <c r="K72" s="417" t="s">
        <v>1556</v>
      </c>
      <c r="L72" s="821"/>
      <c r="M72" s="822"/>
      <c r="N72" s="144"/>
    </row>
    <row r="73" spans="1:14" ht="30" hidden="1" customHeight="1">
      <c r="C73" s="826"/>
      <c r="D73" s="827"/>
      <c r="E73" s="411"/>
      <c r="F73" s="411"/>
      <c r="G73" s="411"/>
      <c r="H73" s="411"/>
      <c r="I73" s="411"/>
      <c r="J73" s="411"/>
      <c r="K73" s="411"/>
      <c r="L73" s="823"/>
      <c r="M73" s="824"/>
      <c r="N73" s="144"/>
    </row>
    <row r="74" spans="1:14" ht="15" hidden="1" customHeight="1">
      <c r="C74" s="804" t="s">
        <v>1490</v>
      </c>
      <c r="D74" s="812"/>
      <c r="E74" s="399" t="s">
        <v>1484</v>
      </c>
      <c r="F74" s="632"/>
      <c r="G74" s="633"/>
      <c r="H74" s="633"/>
      <c r="I74" s="633"/>
      <c r="J74" s="633"/>
      <c r="K74" s="633"/>
      <c r="L74" s="633"/>
      <c r="M74" s="724"/>
      <c r="N74" s="144"/>
    </row>
    <row r="75" spans="1:14" hidden="1">
      <c r="C75" s="813"/>
      <c r="D75" s="814"/>
      <c r="E75" s="320" t="s">
        <v>1492</v>
      </c>
      <c r="F75" s="632"/>
      <c r="G75" s="633"/>
      <c r="H75" s="633"/>
      <c r="I75" s="633"/>
      <c r="J75" s="633"/>
      <c r="K75" s="633"/>
      <c r="L75" s="633"/>
      <c r="M75" s="724"/>
      <c r="N75" s="144"/>
    </row>
    <row r="76" spans="1:14" hidden="1">
      <c r="C76" s="815"/>
      <c r="D76" s="816"/>
      <c r="E76" s="400" t="s">
        <v>1485</v>
      </c>
      <c r="F76" s="632"/>
      <c r="G76" s="633"/>
      <c r="H76" s="633"/>
      <c r="I76" s="633"/>
      <c r="J76" s="633"/>
      <c r="K76" s="633"/>
      <c r="L76" s="633"/>
      <c r="M76" s="724"/>
      <c r="N76" s="144"/>
    </row>
    <row r="77" spans="1:14" hidden="1">
      <c r="C77" s="804" t="s">
        <v>1491</v>
      </c>
      <c r="D77" s="817"/>
      <c r="E77" s="360" t="s">
        <v>1486</v>
      </c>
      <c r="F77" s="632"/>
      <c r="G77" s="633"/>
      <c r="H77" s="633"/>
      <c r="I77" s="633"/>
      <c r="J77" s="633"/>
      <c r="K77" s="633"/>
      <c r="L77" s="633"/>
      <c r="M77" s="724"/>
      <c r="N77" s="144"/>
    </row>
    <row r="78" spans="1:14" hidden="1">
      <c r="C78" s="813"/>
      <c r="D78" s="818"/>
      <c r="E78" s="360" t="s">
        <v>1487</v>
      </c>
      <c r="F78" s="632"/>
      <c r="G78" s="633"/>
      <c r="H78" s="633"/>
      <c r="I78" s="633"/>
      <c r="J78" s="633"/>
      <c r="K78" s="633"/>
      <c r="L78" s="633"/>
      <c r="M78" s="724"/>
      <c r="N78" s="144"/>
    </row>
    <row r="79" spans="1:14" hidden="1">
      <c r="C79" s="813"/>
      <c r="D79" s="818"/>
      <c r="E79" s="360" t="s">
        <v>1488</v>
      </c>
      <c r="F79" s="632"/>
      <c r="G79" s="633"/>
      <c r="H79" s="633"/>
      <c r="I79" s="633"/>
      <c r="J79" s="633"/>
      <c r="K79" s="633"/>
      <c r="L79" s="633"/>
      <c r="M79" s="724"/>
      <c r="N79" s="144"/>
    </row>
    <row r="80" spans="1:14" hidden="1">
      <c r="C80" s="815"/>
      <c r="D80" s="819"/>
      <c r="E80" s="360" t="s">
        <v>1489</v>
      </c>
      <c r="F80" s="632"/>
      <c r="G80" s="633"/>
      <c r="H80" s="633"/>
      <c r="I80" s="633"/>
      <c r="J80" s="633"/>
      <c r="K80" s="633"/>
      <c r="L80" s="633"/>
      <c r="M80" s="724"/>
      <c r="N80" s="144"/>
    </row>
    <row r="81" spans="1:14" ht="45" hidden="1" customHeight="1">
      <c r="C81" s="654" t="str">
        <f>IF($E71="No","Results of the consultation of airspace users' representatives", "Benefits for airspace users and results of the consultation of airspace users' representatives")</f>
        <v>Benefits for airspace users and results of the consultation of airspace users' representatives</v>
      </c>
      <c r="D81" s="655"/>
      <c r="E81" s="820"/>
      <c r="F81" s="809"/>
      <c r="G81" s="809"/>
      <c r="H81" s="809"/>
      <c r="I81" s="809"/>
      <c r="J81" s="809"/>
      <c r="K81" s="809"/>
      <c r="L81" s="809"/>
      <c r="M81" s="809"/>
      <c r="N81" s="144"/>
    </row>
    <row r="82" spans="1:14" hidden="1">
      <c r="C82" s="654" t="s">
        <v>996</v>
      </c>
      <c r="D82" s="655"/>
      <c r="E82" s="189" t="s">
        <v>240</v>
      </c>
      <c r="F82" s="806"/>
      <c r="G82" s="807"/>
      <c r="H82" s="807"/>
      <c r="I82" s="807"/>
      <c r="J82" s="807"/>
      <c r="K82" s="807"/>
      <c r="L82" s="807"/>
      <c r="M82" s="807"/>
      <c r="N82" s="144"/>
    </row>
    <row r="83" spans="1:14" hidden="1">
      <c r="C83" s="654" t="s">
        <v>326</v>
      </c>
      <c r="D83" s="655"/>
      <c r="E83" s="189" t="s">
        <v>240</v>
      </c>
      <c r="F83" s="806"/>
      <c r="G83" s="807"/>
      <c r="H83" s="807"/>
      <c r="I83" s="807"/>
      <c r="J83" s="807"/>
      <c r="K83" s="807"/>
      <c r="L83" s="807"/>
      <c r="M83" s="807"/>
      <c r="N83" s="144"/>
    </row>
    <row r="84" spans="1:14" hidden="1">
      <c r="C84" s="804" t="s">
        <v>997</v>
      </c>
      <c r="D84" s="805"/>
      <c r="E84" s="189" t="s">
        <v>240</v>
      </c>
      <c r="F84" s="806"/>
      <c r="G84" s="807"/>
      <c r="H84" s="807"/>
      <c r="I84" s="807"/>
      <c r="J84" s="807"/>
      <c r="K84" s="807"/>
      <c r="L84" s="807"/>
      <c r="M84" s="807"/>
      <c r="N84" s="144"/>
    </row>
    <row r="85" spans="1:14" ht="30" hidden="1" customHeight="1">
      <c r="C85" s="804" t="s">
        <v>327</v>
      </c>
      <c r="D85" s="805"/>
      <c r="E85" s="189" t="s">
        <v>240</v>
      </c>
      <c r="F85" s="806"/>
      <c r="G85" s="807"/>
      <c r="H85" s="807"/>
      <c r="I85" s="807"/>
      <c r="J85" s="807"/>
      <c r="K85" s="807"/>
      <c r="L85" s="807"/>
      <c r="M85" s="807"/>
      <c r="N85" s="181"/>
    </row>
    <row r="86" spans="1:14" ht="9" hidden="1" customHeight="1">
      <c r="C86" s="132"/>
      <c r="D86" s="132"/>
      <c r="E86" s="132"/>
      <c r="F86" s="132"/>
      <c r="G86" s="132"/>
      <c r="H86" s="132"/>
      <c r="I86" s="132"/>
      <c r="J86" s="132"/>
      <c r="K86" s="132"/>
      <c r="L86" s="132"/>
      <c r="M86" s="132"/>
    </row>
    <row r="87" spans="1:14" hidden="1">
      <c r="B87"/>
      <c r="C87"/>
      <c r="D87"/>
      <c r="E87"/>
      <c r="F87"/>
      <c r="G87"/>
      <c r="H87"/>
      <c r="I87"/>
      <c r="J87"/>
      <c r="K87"/>
      <c r="L87"/>
      <c r="M87"/>
    </row>
    <row r="88" spans="1:14" s="15" customFormat="1" ht="15" hidden="1" customHeight="1">
      <c r="A88" s="6" t="s">
        <v>693</v>
      </c>
      <c r="C88" s="798" t="s">
        <v>644</v>
      </c>
      <c r="D88" s="799"/>
      <c r="E88" s="800" t="str">
        <f>IF(C11="","",C11)</f>
        <v/>
      </c>
      <c r="F88" s="801"/>
      <c r="G88" s="801"/>
      <c r="H88" s="801"/>
      <c r="I88" s="801"/>
      <c r="J88" s="654" t="s">
        <v>322</v>
      </c>
      <c r="K88" s="655"/>
      <c r="L88" s="802">
        <f>D11</f>
        <v>0</v>
      </c>
      <c r="M88" s="803"/>
      <c r="N88" s="222"/>
    </row>
    <row r="89" spans="1:14" ht="45" hidden="1" customHeight="1">
      <c r="C89" s="654" t="s">
        <v>995</v>
      </c>
      <c r="D89" s="655"/>
      <c r="E89" s="808"/>
      <c r="F89" s="809"/>
      <c r="G89" s="809"/>
      <c r="H89" s="809"/>
      <c r="I89" s="809"/>
      <c r="J89" s="809"/>
      <c r="K89" s="809"/>
      <c r="L89" s="809"/>
      <c r="M89" s="809"/>
      <c r="N89" s="144"/>
    </row>
    <row r="90" spans="1:14" ht="60" hidden="1" customHeight="1">
      <c r="C90" s="810" t="str">
        <f>"The investment is mandated by a SES Regulation (i.e. PCP/CP1/Interoperability)?" &amp; IF($E90="yes"," Ref. to the Regulation and, if funded through Union assistance programmes, ref. to the relevant grant agreement.)","")</f>
        <v>The investment is mandated by a SES Regulation (i.e. PCP/CP1/Interoperability)?</v>
      </c>
      <c r="D90" s="811"/>
      <c r="E90" s="398" t="s">
        <v>240</v>
      </c>
      <c r="F90" s="632"/>
      <c r="G90" s="633"/>
      <c r="H90" s="633"/>
      <c r="I90" s="633"/>
      <c r="J90" s="633"/>
      <c r="K90" s="633"/>
      <c r="L90" s="633"/>
      <c r="M90" s="724"/>
      <c r="N90" s="144"/>
    </row>
    <row r="91" spans="1:14" ht="15" hidden="1" customHeight="1">
      <c r="C91" s="654" t="s">
        <v>1725</v>
      </c>
      <c r="D91" s="825"/>
      <c r="E91" s="417" t="s">
        <v>1550</v>
      </c>
      <c r="F91" s="417" t="s">
        <v>1551</v>
      </c>
      <c r="G91" s="417" t="s">
        <v>1552</v>
      </c>
      <c r="H91" s="417" t="s">
        <v>1553</v>
      </c>
      <c r="I91" s="417" t="s">
        <v>1554</v>
      </c>
      <c r="J91" s="417" t="s">
        <v>1555</v>
      </c>
      <c r="K91" s="417" t="s">
        <v>1556</v>
      </c>
      <c r="L91" s="821"/>
      <c r="M91" s="822"/>
      <c r="N91" s="144"/>
    </row>
    <row r="92" spans="1:14" ht="30" hidden="1" customHeight="1">
      <c r="C92" s="826"/>
      <c r="D92" s="827"/>
      <c r="E92" s="411"/>
      <c r="F92" s="411"/>
      <c r="G92" s="411"/>
      <c r="H92" s="411"/>
      <c r="I92" s="411"/>
      <c r="J92" s="411"/>
      <c r="K92" s="411"/>
      <c r="L92" s="823"/>
      <c r="M92" s="824"/>
      <c r="N92" s="144"/>
    </row>
    <row r="93" spans="1:14" ht="15" hidden="1" customHeight="1">
      <c r="C93" s="804" t="s">
        <v>1490</v>
      </c>
      <c r="D93" s="812"/>
      <c r="E93" s="399" t="s">
        <v>1484</v>
      </c>
      <c r="F93" s="632"/>
      <c r="G93" s="633"/>
      <c r="H93" s="633"/>
      <c r="I93" s="633"/>
      <c r="J93" s="633"/>
      <c r="K93" s="633"/>
      <c r="L93" s="633"/>
      <c r="M93" s="724"/>
      <c r="N93" s="144"/>
    </row>
    <row r="94" spans="1:14" hidden="1">
      <c r="C94" s="813"/>
      <c r="D94" s="814"/>
      <c r="E94" s="320" t="s">
        <v>1492</v>
      </c>
      <c r="F94" s="632"/>
      <c r="G94" s="633"/>
      <c r="H94" s="633"/>
      <c r="I94" s="633"/>
      <c r="J94" s="633"/>
      <c r="K94" s="633"/>
      <c r="L94" s="633"/>
      <c r="M94" s="724"/>
      <c r="N94" s="144"/>
    </row>
    <row r="95" spans="1:14" hidden="1">
      <c r="C95" s="815"/>
      <c r="D95" s="816"/>
      <c r="E95" s="400" t="s">
        <v>1485</v>
      </c>
      <c r="F95" s="632"/>
      <c r="G95" s="633"/>
      <c r="H95" s="633"/>
      <c r="I95" s="633"/>
      <c r="J95" s="633"/>
      <c r="K95" s="633"/>
      <c r="L95" s="633"/>
      <c r="M95" s="724"/>
      <c r="N95" s="144"/>
    </row>
    <row r="96" spans="1:14" hidden="1">
      <c r="C96" s="804" t="s">
        <v>1491</v>
      </c>
      <c r="D96" s="817"/>
      <c r="E96" s="360" t="s">
        <v>1486</v>
      </c>
      <c r="F96" s="632"/>
      <c r="G96" s="633"/>
      <c r="H96" s="633"/>
      <c r="I96" s="633"/>
      <c r="J96" s="633"/>
      <c r="K96" s="633"/>
      <c r="L96" s="633"/>
      <c r="M96" s="724"/>
      <c r="N96" s="144"/>
    </row>
    <row r="97" spans="1:14" hidden="1">
      <c r="C97" s="813"/>
      <c r="D97" s="818"/>
      <c r="E97" s="360" t="s">
        <v>1487</v>
      </c>
      <c r="F97" s="632"/>
      <c r="G97" s="633"/>
      <c r="H97" s="633"/>
      <c r="I97" s="633"/>
      <c r="J97" s="633"/>
      <c r="K97" s="633"/>
      <c r="L97" s="633"/>
      <c r="M97" s="724"/>
      <c r="N97" s="144"/>
    </row>
    <row r="98" spans="1:14" hidden="1">
      <c r="C98" s="813"/>
      <c r="D98" s="818"/>
      <c r="E98" s="360" t="s">
        <v>1488</v>
      </c>
      <c r="F98" s="632"/>
      <c r="G98" s="633"/>
      <c r="H98" s="633"/>
      <c r="I98" s="633"/>
      <c r="J98" s="633"/>
      <c r="K98" s="633"/>
      <c r="L98" s="633"/>
      <c r="M98" s="724"/>
      <c r="N98" s="144"/>
    </row>
    <row r="99" spans="1:14" hidden="1">
      <c r="C99" s="815"/>
      <c r="D99" s="819"/>
      <c r="E99" s="360" t="s">
        <v>1489</v>
      </c>
      <c r="F99" s="632"/>
      <c r="G99" s="633"/>
      <c r="H99" s="633"/>
      <c r="I99" s="633"/>
      <c r="J99" s="633"/>
      <c r="K99" s="633"/>
      <c r="L99" s="633"/>
      <c r="M99" s="724"/>
      <c r="N99" s="144"/>
    </row>
    <row r="100" spans="1:14" ht="45" hidden="1" customHeight="1">
      <c r="C100" s="654" t="str">
        <f>IF($E90="No","Results of the consultation of airspace users' representatives", "Benefits for airspace users and results of the consultation of airspace users' representatives")</f>
        <v>Benefits for airspace users and results of the consultation of airspace users' representatives</v>
      </c>
      <c r="D100" s="655"/>
      <c r="E100" s="820"/>
      <c r="F100" s="809"/>
      <c r="G100" s="809"/>
      <c r="H100" s="809"/>
      <c r="I100" s="809"/>
      <c r="J100" s="809"/>
      <c r="K100" s="809"/>
      <c r="L100" s="809"/>
      <c r="M100" s="809"/>
      <c r="N100" s="144"/>
    </row>
    <row r="101" spans="1:14" hidden="1">
      <c r="C101" s="654" t="s">
        <v>996</v>
      </c>
      <c r="D101" s="655"/>
      <c r="E101" s="189" t="s">
        <v>240</v>
      </c>
      <c r="F101" s="806"/>
      <c r="G101" s="807"/>
      <c r="H101" s="807"/>
      <c r="I101" s="807"/>
      <c r="J101" s="807"/>
      <c r="K101" s="807"/>
      <c r="L101" s="807"/>
      <c r="M101" s="807"/>
      <c r="N101" s="144"/>
    </row>
    <row r="102" spans="1:14" hidden="1">
      <c r="C102" s="654" t="s">
        <v>326</v>
      </c>
      <c r="D102" s="655"/>
      <c r="E102" s="189" t="s">
        <v>240</v>
      </c>
      <c r="F102" s="806"/>
      <c r="G102" s="807"/>
      <c r="H102" s="807"/>
      <c r="I102" s="807"/>
      <c r="J102" s="807"/>
      <c r="K102" s="807"/>
      <c r="L102" s="807"/>
      <c r="M102" s="807"/>
      <c r="N102" s="144"/>
    </row>
    <row r="103" spans="1:14" ht="15" hidden="1" customHeight="1">
      <c r="C103" s="804" t="s">
        <v>997</v>
      </c>
      <c r="D103" s="805"/>
      <c r="E103" s="189" t="s">
        <v>240</v>
      </c>
      <c r="F103" s="806"/>
      <c r="G103" s="807"/>
      <c r="H103" s="807"/>
      <c r="I103" s="807"/>
      <c r="J103" s="807"/>
      <c r="K103" s="807"/>
      <c r="L103" s="807"/>
      <c r="M103" s="807"/>
      <c r="N103" s="144"/>
    </row>
    <row r="104" spans="1:14" ht="30" hidden="1" customHeight="1">
      <c r="C104" s="804" t="s">
        <v>327</v>
      </c>
      <c r="D104" s="805"/>
      <c r="E104" s="189" t="s">
        <v>240</v>
      </c>
      <c r="F104" s="806"/>
      <c r="G104" s="807"/>
      <c r="H104" s="807"/>
      <c r="I104" s="807"/>
      <c r="J104" s="807"/>
      <c r="K104" s="807"/>
      <c r="L104" s="807"/>
      <c r="M104" s="807"/>
      <c r="N104" s="181"/>
    </row>
    <row r="105" spans="1:14" ht="9" hidden="1" customHeight="1">
      <c r="C105" s="132"/>
      <c r="D105" s="132"/>
      <c r="E105" s="132"/>
      <c r="F105" s="132"/>
      <c r="G105" s="132"/>
      <c r="H105" s="132"/>
      <c r="I105" s="132"/>
      <c r="J105" s="132"/>
      <c r="K105" s="132"/>
      <c r="L105" s="132"/>
      <c r="M105" s="132"/>
    </row>
    <row r="106" spans="1:14" hidden="1">
      <c r="B106"/>
      <c r="C106"/>
      <c r="D106"/>
      <c r="E106"/>
      <c r="F106"/>
      <c r="G106"/>
      <c r="H106"/>
      <c r="I106"/>
      <c r="J106"/>
      <c r="K106"/>
      <c r="L106"/>
      <c r="M106"/>
    </row>
    <row r="107" spans="1:14" s="15" customFormat="1" ht="15" hidden="1" customHeight="1">
      <c r="A107" s="6" t="s">
        <v>693</v>
      </c>
      <c r="C107" s="798" t="s">
        <v>645</v>
      </c>
      <c r="D107" s="799"/>
      <c r="E107" s="800" t="str">
        <f>IF(C12="","",C12)</f>
        <v/>
      </c>
      <c r="F107" s="801"/>
      <c r="G107" s="801"/>
      <c r="H107" s="801"/>
      <c r="I107" s="801"/>
      <c r="J107" s="654" t="s">
        <v>322</v>
      </c>
      <c r="K107" s="655"/>
      <c r="L107" s="802">
        <f>D12</f>
        <v>0</v>
      </c>
      <c r="M107" s="803"/>
      <c r="N107" s="222"/>
    </row>
    <row r="108" spans="1:14" ht="45" hidden="1" customHeight="1">
      <c r="C108" s="654" t="s">
        <v>995</v>
      </c>
      <c r="D108" s="655"/>
      <c r="E108" s="808"/>
      <c r="F108" s="809"/>
      <c r="G108" s="809"/>
      <c r="H108" s="809"/>
      <c r="I108" s="809"/>
      <c r="J108" s="809"/>
      <c r="K108" s="809"/>
      <c r="L108" s="809"/>
      <c r="M108" s="809"/>
      <c r="N108" s="144"/>
    </row>
    <row r="109" spans="1:14" ht="60" hidden="1" customHeight="1">
      <c r="C109" s="810" t="str">
        <f>"The investment is mandated by a SES Regulation (i.e. PCP/CP1/Interoperability)?" &amp; IF($E109="yes"," Ref. to the Regulation and, if funded through Union assistance programmes, ref. to the relevant grant agreement.)","")</f>
        <v>The investment is mandated by a SES Regulation (i.e. PCP/CP1/Interoperability)?</v>
      </c>
      <c r="D109" s="811"/>
      <c r="E109" s="398" t="s">
        <v>240</v>
      </c>
      <c r="F109" s="632"/>
      <c r="G109" s="633"/>
      <c r="H109" s="633"/>
      <c r="I109" s="633"/>
      <c r="J109" s="633"/>
      <c r="K109" s="633"/>
      <c r="L109" s="633"/>
      <c r="M109" s="724"/>
      <c r="N109" s="144"/>
    </row>
    <row r="110" spans="1:14" ht="15" hidden="1" customHeight="1">
      <c r="C110" s="654" t="s">
        <v>1725</v>
      </c>
      <c r="D110" s="825"/>
      <c r="E110" s="417" t="s">
        <v>1550</v>
      </c>
      <c r="F110" s="417" t="s">
        <v>1551</v>
      </c>
      <c r="G110" s="417" t="s">
        <v>1552</v>
      </c>
      <c r="H110" s="417" t="s">
        <v>1553</v>
      </c>
      <c r="I110" s="417" t="s">
        <v>1554</v>
      </c>
      <c r="J110" s="417" t="s">
        <v>1555</v>
      </c>
      <c r="K110" s="417" t="s">
        <v>1556</v>
      </c>
      <c r="L110" s="821"/>
      <c r="M110" s="822"/>
      <c r="N110" s="144"/>
    </row>
    <row r="111" spans="1:14" ht="30" hidden="1" customHeight="1">
      <c r="C111" s="826"/>
      <c r="D111" s="827"/>
      <c r="E111" s="411"/>
      <c r="F111" s="411"/>
      <c r="G111" s="411"/>
      <c r="H111" s="411"/>
      <c r="I111" s="411"/>
      <c r="J111" s="411"/>
      <c r="K111" s="411"/>
      <c r="L111" s="823"/>
      <c r="M111" s="824"/>
      <c r="N111" s="144"/>
    </row>
    <row r="112" spans="1:14" ht="15" hidden="1" customHeight="1">
      <c r="C112" s="804" t="s">
        <v>1490</v>
      </c>
      <c r="D112" s="812"/>
      <c r="E112" s="399" t="s">
        <v>1484</v>
      </c>
      <c r="F112" s="632"/>
      <c r="G112" s="633"/>
      <c r="H112" s="633"/>
      <c r="I112" s="633"/>
      <c r="J112" s="633"/>
      <c r="K112" s="633"/>
      <c r="L112" s="633"/>
      <c r="M112" s="724"/>
      <c r="N112" s="144"/>
    </row>
    <row r="113" spans="1:14" hidden="1">
      <c r="C113" s="813"/>
      <c r="D113" s="814"/>
      <c r="E113" s="320" t="s">
        <v>1492</v>
      </c>
      <c r="F113" s="632"/>
      <c r="G113" s="633"/>
      <c r="H113" s="633"/>
      <c r="I113" s="633"/>
      <c r="J113" s="633"/>
      <c r="K113" s="633"/>
      <c r="L113" s="633"/>
      <c r="M113" s="724"/>
      <c r="N113" s="144"/>
    </row>
    <row r="114" spans="1:14" hidden="1">
      <c r="C114" s="815"/>
      <c r="D114" s="816"/>
      <c r="E114" s="400" t="s">
        <v>1485</v>
      </c>
      <c r="F114" s="632"/>
      <c r="G114" s="633"/>
      <c r="H114" s="633"/>
      <c r="I114" s="633"/>
      <c r="J114" s="633"/>
      <c r="K114" s="633"/>
      <c r="L114" s="633"/>
      <c r="M114" s="724"/>
      <c r="N114" s="144"/>
    </row>
    <row r="115" spans="1:14" hidden="1">
      <c r="C115" s="804" t="s">
        <v>1491</v>
      </c>
      <c r="D115" s="817"/>
      <c r="E115" s="360" t="s">
        <v>1486</v>
      </c>
      <c r="F115" s="632"/>
      <c r="G115" s="633"/>
      <c r="H115" s="633"/>
      <c r="I115" s="633"/>
      <c r="J115" s="633"/>
      <c r="K115" s="633"/>
      <c r="L115" s="633"/>
      <c r="M115" s="724"/>
      <c r="N115" s="144"/>
    </row>
    <row r="116" spans="1:14" hidden="1">
      <c r="C116" s="813"/>
      <c r="D116" s="818"/>
      <c r="E116" s="360" t="s">
        <v>1487</v>
      </c>
      <c r="F116" s="632"/>
      <c r="G116" s="633"/>
      <c r="H116" s="633"/>
      <c r="I116" s="633"/>
      <c r="J116" s="633"/>
      <c r="K116" s="633"/>
      <c r="L116" s="633"/>
      <c r="M116" s="724"/>
      <c r="N116" s="144"/>
    </row>
    <row r="117" spans="1:14" hidden="1">
      <c r="C117" s="813"/>
      <c r="D117" s="818"/>
      <c r="E117" s="360" t="s">
        <v>1488</v>
      </c>
      <c r="F117" s="632"/>
      <c r="G117" s="633"/>
      <c r="H117" s="633"/>
      <c r="I117" s="633"/>
      <c r="J117" s="633"/>
      <c r="K117" s="633"/>
      <c r="L117" s="633"/>
      <c r="M117" s="724"/>
      <c r="N117" s="144"/>
    </row>
    <row r="118" spans="1:14" hidden="1">
      <c r="C118" s="815"/>
      <c r="D118" s="819"/>
      <c r="E118" s="360" t="s">
        <v>1489</v>
      </c>
      <c r="F118" s="632"/>
      <c r="G118" s="633"/>
      <c r="H118" s="633"/>
      <c r="I118" s="633"/>
      <c r="J118" s="633"/>
      <c r="K118" s="633"/>
      <c r="L118" s="633"/>
      <c r="M118" s="724"/>
      <c r="N118" s="144"/>
    </row>
    <row r="119" spans="1:14" ht="45" hidden="1" customHeight="1">
      <c r="C119" s="654" t="str">
        <f>IF($E109="No","Results of the consultation of airspace users' representatives", "Benefits for airspace users and results of the consultation of airspace users' representatives")</f>
        <v>Benefits for airspace users and results of the consultation of airspace users' representatives</v>
      </c>
      <c r="D119" s="655"/>
      <c r="E119" s="820"/>
      <c r="F119" s="809"/>
      <c r="G119" s="809"/>
      <c r="H119" s="809"/>
      <c r="I119" s="809"/>
      <c r="J119" s="809"/>
      <c r="K119" s="809"/>
      <c r="L119" s="809"/>
      <c r="M119" s="809"/>
      <c r="N119" s="144"/>
    </row>
    <row r="120" spans="1:14" hidden="1">
      <c r="C120" s="654" t="s">
        <v>996</v>
      </c>
      <c r="D120" s="655"/>
      <c r="E120" s="189" t="s">
        <v>240</v>
      </c>
      <c r="F120" s="806"/>
      <c r="G120" s="807"/>
      <c r="H120" s="807"/>
      <c r="I120" s="807"/>
      <c r="J120" s="807"/>
      <c r="K120" s="807"/>
      <c r="L120" s="807"/>
      <c r="M120" s="807"/>
      <c r="N120" s="144"/>
    </row>
    <row r="121" spans="1:14" hidden="1">
      <c r="C121" s="654" t="s">
        <v>326</v>
      </c>
      <c r="D121" s="655"/>
      <c r="E121" s="189" t="s">
        <v>240</v>
      </c>
      <c r="F121" s="806"/>
      <c r="G121" s="807"/>
      <c r="H121" s="807"/>
      <c r="I121" s="807"/>
      <c r="J121" s="807"/>
      <c r="K121" s="807"/>
      <c r="L121" s="807"/>
      <c r="M121" s="807"/>
      <c r="N121" s="144"/>
    </row>
    <row r="122" spans="1:14" ht="15" hidden="1" customHeight="1">
      <c r="C122" s="804" t="s">
        <v>997</v>
      </c>
      <c r="D122" s="805"/>
      <c r="E122" s="189" t="s">
        <v>240</v>
      </c>
      <c r="F122" s="806"/>
      <c r="G122" s="807"/>
      <c r="H122" s="807"/>
      <c r="I122" s="807"/>
      <c r="J122" s="807"/>
      <c r="K122" s="807"/>
      <c r="L122" s="807"/>
      <c r="M122" s="807"/>
      <c r="N122" s="144"/>
    </row>
    <row r="123" spans="1:14" ht="30" hidden="1" customHeight="1">
      <c r="C123" s="804" t="s">
        <v>327</v>
      </c>
      <c r="D123" s="805"/>
      <c r="E123" s="189" t="s">
        <v>240</v>
      </c>
      <c r="F123" s="806"/>
      <c r="G123" s="807"/>
      <c r="H123" s="807"/>
      <c r="I123" s="807"/>
      <c r="J123" s="807"/>
      <c r="K123" s="807"/>
      <c r="L123" s="807"/>
      <c r="M123" s="807"/>
      <c r="N123" s="181"/>
    </row>
    <row r="124" spans="1:14" ht="9" hidden="1" customHeight="1">
      <c r="C124" s="132"/>
      <c r="D124" s="132"/>
      <c r="E124" s="132"/>
      <c r="F124" s="132"/>
      <c r="G124" s="132"/>
      <c r="H124" s="132"/>
      <c r="I124" s="132"/>
      <c r="J124" s="132"/>
      <c r="K124" s="132"/>
      <c r="L124" s="132"/>
      <c r="M124" s="132"/>
    </row>
    <row r="125" spans="1:14" hidden="1">
      <c r="B125"/>
      <c r="C125"/>
      <c r="D125"/>
      <c r="E125"/>
      <c r="F125"/>
      <c r="G125"/>
      <c r="H125"/>
      <c r="I125"/>
      <c r="J125"/>
      <c r="K125"/>
      <c r="L125"/>
      <c r="M125"/>
    </row>
    <row r="126" spans="1:14" s="15" customFormat="1" ht="15" hidden="1" customHeight="1">
      <c r="A126" s="6" t="s">
        <v>693</v>
      </c>
      <c r="C126" s="798" t="s">
        <v>646</v>
      </c>
      <c r="D126" s="799"/>
      <c r="E126" s="800" t="str">
        <f>IF(C13="","",C13)</f>
        <v/>
      </c>
      <c r="F126" s="801"/>
      <c r="G126" s="801"/>
      <c r="H126" s="801"/>
      <c r="I126" s="801"/>
      <c r="J126" s="654" t="s">
        <v>322</v>
      </c>
      <c r="K126" s="655"/>
      <c r="L126" s="802">
        <f>D13</f>
        <v>0</v>
      </c>
      <c r="M126" s="803"/>
      <c r="N126" s="222"/>
    </row>
    <row r="127" spans="1:14" ht="45" hidden="1" customHeight="1">
      <c r="C127" s="654" t="s">
        <v>995</v>
      </c>
      <c r="D127" s="655"/>
      <c r="E127" s="808"/>
      <c r="F127" s="809"/>
      <c r="G127" s="809"/>
      <c r="H127" s="809"/>
      <c r="I127" s="809"/>
      <c r="J127" s="809"/>
      <c r="K127" s="809"/>
      <c r="L127" s="809"/>
      <c r="M127" s="809"/>
      <c r="N127" s="144"/>
    </row>
    <row r="128" spans="1:14" ht="60" hidden="1" customHeight="1">
      <c r="C128" s="810" t="str">
        <f>"The investment is mandated by a SES Regulation (i.e. PCP/CP1/Interoperability)?" &amp; IF($E128="yes"," Ref. to the Regulation and, if funded through Union assistance programmes, ref. to the relevant grant agreement.)","")</f>
        <v>The investment is mandated by a SES Regulation (i.e. PCP/CP1/Interoperability)?</v>
      </c>
      <c r="D128" s="811"/>
      <c r="E128" s="398" t="s">
        <v>240</v>
      </c>
      <c r="F128" s="632"/>
      <c r="G128" s="633"/>
      <c r="H128" s="633"/>
      <c r="I128" s="633"/>
      <c r="J128" s="633"/>
      <c r="K128" s="633"/>
      <c r="L128" s="633"/>
      <c r="M128" s="724"/>
      <c r="N128" s="144"/>
    </row>
    <row r="129" spans="2:14" ht="15" hidden="1" customHeight="1">
      <c r="C129" s="654" t="s">
        <v>1725</v>
      </c>
      <c r="D129" s="825"/>
      <c r="E129" s="417" t="s">
        <v>1550</v>
      </c>
      <c r="F129" s="417" t="s">
        <v>1551</v>
      </c>
      <c r="G129" s="417" t="s">
        <v>1552</v>
      </c>
      <c r="H129" s="417" t="s">
        <v>1553</v>
      </c>
      <c r="I129" s="417" t="s">
        <v>1554</v>
      </c>
      <c r="J129" s="417" t="s">
        <v>1555</v>
      </c>
      <c r="K129" s="417" t="s">
        <v>1556</v>
      </c>
      <c r="L129" s="821"/>
      <c r="M129" s="822"/>
      <c r="N129" s="144"/>
    </row>
    <row r="130" spans="2:14" ht="30" hidden="1" customHeight="1">
      <c r="C130" s="826"/>
      <c r="D130" s="827"/>
      <c r="E130" s="411"/>
      <c r="F130" s="411"/>
      <c r="G130" s="411"/>
      <c r="H130" s="411"/>
      <c r="I130" s="411"/>
      <c r="J130" s="411"/>
      <c r="K130" s="411"/>
      <c r="L130" s="823"/>
      <c r="M130" s="824"/>
      <c r="N130" s="144"/>
    </row>
    <row r="131" spans="2:14" ht="15" hidden="1" customHeight="1">
      <c r="C131" s="804" t="s">
        <v>1490</v>
      </c>
      <c r="D131" s="812"/>
      <c r="E131" s="399" t="s">
        <v>1484</v>
      </c>
      <c r="F131" s="632"/>
      <c r="G131" s="633"/>
      <c r="H131" s="633"/>
      <c r="I131" s="633"/>
      <c r="J131" s="633"/>
      <c r="K131" s="633"/>
      <c r="L131" s="633"/>
      <c r="M131" s="724"/>
      <c r="N131" s="144"/>
    </row>
    <row r="132" spans="2:14" hidden="1">
      <c r="C132" s="813"/>
      <c r="D132" s="814"/>
      <c r="E132" s="320" t="s">
        <v>1492</v>
      </c>
      <c r="F132" s="632"/>
      <c r="G132" s="633"/>
      <c r="H132" s="633"/>
      <c r="I132" s="633"/>
      <c r="J132" s="633"/>
      <c r="K132" s="633"/>
      <c r="L132" s="633"/>
      <c r="M132" s="724"/>
      <c r="N132" s="144"/>
    </row>
    <row r="133" spans="2:14" hidden="1">
      <c r="C133" s="815"/>
      <c r="D133" s="816"/>
      <c r="E133" s="400" t="s">
        <v>1485</v>
      </c>
      <c r="F133" s="632"/>
      <c r="G133" s="633"/>
      <c r="H133" s="633"/>
      <c r="I133" s="633"/>
      <c r="J133" s="633"/>
      <c r="K133" s="633"/>
      <c r="L133" s="633"/>
      <c r="M133" s="724"/>
      <c r="N133" s="144"/>
    </row>
    <row r="134" spans="2:14" hidden="1">
      <c r="C134" s="804" t="s">
        <v>1491</v>
      </c>
      <c r="D134" s="817"/>
      <c r="E134" s="360" t="s">
        <v>1486</v>
      </c>
      <c r="F134" s="632"/>
      <c r="G134" s="633"/>
      <c r="H134" s="633"/>
      <c r="I134" s="633"/>
      <c r="J134" s="633"/>
      <c r="K134" s="633"/>
      <c r="L134" s="633"/>
      <c r="M134" s="724"/>
      <c r="N134" s="144"/>
    </row>
    <row r="135" spans="2:14" hidden="1">
      <c r="C135" s="813"/>
      <c r="D135" s="818"/>
      <c r="E135" s="360" t="s">
        <v>1487</v>
      </c>
      <c r="F135" s="632"/>
      <c r="G135" s="633"/>
      <c r="H135" s="633"/>
      <c r="I135" s="633"/>
      <c r="J135" s="633"/>
      <c r="K135" s="633"/>
      <c r="L135" s="633"/>
      <c r="M135" s="724"/>
      <c r="N135" s="144"/>
    </row>
    <row r="136" spans="2:14" hidden="1">
      <c r="C136" s="813"/>
      <c r="D136" s="818"/>
      <c r="E136" s="360" t="s">
        <v>1488</v>
      </c>
      <c r="F136" s="632"/>
      <c r="G136" s="633"/>
      <c r="H136" s="633"/>
      <c r="I136" s="633"/>
      <c r="J136" s="633"/>
      <c r="K136" s="633"/>
      <c r="L136" s="633"/>
      <c r="M136" s="724"/>
      <c r="N136" s="144"/>
    </row>
    <row r="137" spans="2:14" hidden="1">
      <c r="C137" s="815"/>
      <c r="D137" s="819"/>
      <c r="E137" s="360" t="s">
        <v>1489</v>
      </c>
      <c r="F137" s="632"/>
      <c r="G137" s="633"/>
      <c r="H137" s="633"/>
      <c r="I137" s="633"/>
      <c r="J137" s="633"/>
      <c r="K137" s="633"/>
      <c r="L137" s="633"/>
      <c r="M137" s="724"/>
      <c r="N137" s="144"/>
    </row>
    <row r="138" spans="2:14" ht="45" hidden="1" customHeight="1">
      <c r="C138" s="654" t="str">
        <f>IF($E128="No","Results of the consultation of airspace users' representatives", "Benefits for airspace users and results of the consultation of airspace users' representatives")</f>
        <v>Benefits for airspace users and results of the consultation of airspace users' representatives</v>
      </c>
      <c r="D138" s="655"/>
      <c r="E138" s="820"/>
      <c r="F138" s="809"/>
      <c r="G138" s="809"/>
      <c r="H138" s="809"/>
      <c r="I138" s="809"/>
      <c r="J138" s="809"/>
      <c r="K138" s="809"/>
      <c r="L138" s="809"/>
      <c r="M138" s="809"/>
      <c r="N138" s="144"/>
    </row>
    <row r="139" spans="2:14" hidden="1">
      <c r="C139" s="654" t="s">
        <v>996</v>
      </c>
      <c r="D139" s="655"/>
      <c r="E139" s="189" t="s">
        <v>240</v>
      </c>
      <c r="F139" s="806"/>
      <c r="G139" s="807"/>
      <c r="H139" s="807"/>
      <c r="I139" s="807"/>
      <c r="J139" s="807"/>
      <c r="K139" s="807"/>
      <c r="L139" s="807"/>
      <c r="M139" s="807"/>
      <c r="N139" s="144"/>
    </row>
    <row r="140" spans="2:14" hidden="1">
      <c r="C140" s="654" t="s">
        <v>326</v>
      </c>
      <c r="D140" s="655"/>
      <c r="E140" s="189" t="s">
        <v>240</v>
      </c>
      <c r="F140" s="806"/>
      <c r="G140" s="807"/>
      <c r="H140" s="807"/>
      <c r="I140" s="807"/>
      <c r="J140" s="807"/>
      <c r="K140" s="807"/>
      <c r="L140" s="807"/>
      <c r="M140" s="807"/>
      <c r="N140" s="144"/>
    </row>
    <row r="141" spans="2:14" ht="30" hidden="1" customHeight="1">
      <c r="C141" s="804" t="s">
        <v>997</v>
      </c>
      <c r="D141" s="805"/>
      <c r="E141" s="189" t="s">
        <v>240</v>
      </c>
      <c r="F141" s="806"/>
      <c r="G141" s="807"/>
      <c r="H141" s="807"/>
      <c r="I141" s="807"/>
      <c r="J141" s="807"/>
      <c r="K141" s="807"/>
      <c r="L141" s="807"/>
      <c r="M141" s="807"/>
      <c r="N141" s="144"/>
    </row>
    <row r="142" spans="2:14" ht="30" hidden="1" customHeight="1">
      <c r="C142" s="804" t="s">
        <v>327</v>
      </c>
      <c r="D142" s="805"/>
      <c r="E142" s="189" t="s">
        <v>240</v>
      </c>
      <c r="F142" s="806"/>
      <c r="G142" s="807"/>
      <c r="H142" s="807"/>
      <c r="I142" s="807"/>
      <c r="J142" s="807"/>
      <c r="K142" s="807"/>
      <c r="L142" s="807"/>
      <c r="M142" s="807"/>
      <c r="N142" s="181"/>
    </row>
    <row r="143" spans="2:14" ht="9" hidden="1" customHeight="1">
      <c r="C143" s="132"/>
      <c r="D143" s="132"/>
      <c r="E143" s="132"/>
      <c r="F143" s="132"/>
      <c r="G143" s="132"/>
      <c r="H143" s="132"/>
      <c r="I143" s="132"/>
      <c r="J143" s="132"/>
      <c r="K143" s="132"/>
      <c r="L143" s="132"/>
      <c r="M143" s="132"/>
    </row>
    <row r="144" spans="2:14" hidden="1">
      <c r="B144"/>
      <c r="C144"/>
      <c r="D144"/>
      <c r="E144"/>
      <c r="F144"/>
      <c r="G144"/>
      <c r="H144"/>
      <c r="I144"/>
      <c r="J144"/>
      <c r="K144"/>
      <c r="L144"/>
      <c r="M144"/>
    </row>
    <row r="145" spans="1:14" hidden="1">
      <c r="A145" s="6" t="s">
        <v>693</v>
      </c>
      <c r="B145"/>
      <c r="C145" s="798" t="s">
        <v>647</v>
      </c>
      <c r="D145" s="799"/>
      <c r="E145" s="800" t="str">
        <f>IF(C14="","",C14)</f>
        <v/>
      </c>
      <c r="F145" s="801"/>
      <c r="G145" s="801"/>
      <c r="H145" s="801"/>
      <c r="I145" s="801"/>
      <c r="J145" s="654" t="s">
        <v>322</v>
      </c>
      <c r="K145" s="655"/>
      <c r="L145" s="802">
        <f>D14</f>
        <v>0</v>
      </c>
      <c r="M145" s="803"/>
      <c r="N145" s="144"/>
    </row>
    <row r="146" spans="1:14" ht="45" hidden="1" customHeight="1">
      <c r="B146"/>
      <c r="C146" s="654" t="s">
        <v>995</v>
      </c>
      <c r="D146" s="655"/>
      <c r="E146" s="808"/>
      <c r="F146" s="809"/>
      <c r="G146" s="809"/>
      <c r="H146" s="809"/>
      <c r="I146" s="809"/>
      <c r="J146" s="809"/>
      <c r="K146" s="809"/>
      <c r="L146" s="809"/>
      <c r="M146" s="809"/>
      <c r="N146" s="144"/>
    </row>
    <row r="147" spans="1:14" ht="60" hidden="1" customHeight="1">
      <c r="C147" s="810" t="str">
        <f>"The investment is mandated by a SES Regulation (i.e. PCP/CP1/Interoperability)?" &amp; IF($E147="yes"," Ref. to the Regulation and, if funded through Union assistance programmes, ref. to the relevant grant agreement.)","")</f>
        <v>The investment is mandated by a SES Regulation (i.e. PCP/CP1/Interoperability)?</v>
      </c>
      <c r="D147" s="811"/>
      <c r="E147" s="398" t="s">
        <v>240</v>
      </c>
      <c r="F147" s="632"/>
      <c r="G147" s="633"/>
      <c r="H147" s="633"/>
      <c r="I147" s="633"/>
      <c r="J147" s="633"/>
      <c r="K147" s="633"/>
      <c r="L147" s="633"/>
      <c r="M147" s="724"/>
      <c r="N147" s="144"/>
    </row>
    <row r="148" spans="1:14" ht="15" hidden="1" customHeight="1">
      <c r="C148" s="654" t="s">
        <v>1725</v>
      </c>
      <c r="D148" s="825"/>
      <c r="E148" s="417" t="s">
        <v>1550</v>
      </c>
      <c r="F148" s="417" t="s">
        <v>1551</v>
      </c>
      <c r="G148" s="417" t="s">
        <v>1552</v>
      </c>
      <c r="H148" s="417" t="s">
        <v>1553</v>
      </c>
      <c r="I148" s="417" t="s">
        <v>1554</v>
      </c>
      <c r="J148" s="417" t="s">
        <v>1555</v>
      </c>
      <c r="K148" s="417" t="s">
        <v>1556</v>
      </c>
      <c r="L148" s="821"/>
      <c r="M148" s="822"/>
      <c r="N148" s="144"/>
    </row>
    <row r="149" spans="1:14" ht="30" hidden="1" customHeight="1">
      <c r="C149" s="826"/>
      <c r="D149" s="827"/>
      <c r="E149" s="411"/>
      <c r="F149" s="411"/>
      <c r="G149" s="411"/>
      <c r="H149" s="411"/>
      <c r="I149" s="411"/>
      <c r="J149" s="411"/>
      <c r="K149" s="411"/>
      <c r="L149" s="823"/>
      <c r="M149" s="824"/>
      <c r="N149" s="144"/>
    </row>
    <row r="150" spans="1:14" ht="15" hidden="1" customHeight="1">
      <c r="C150" s="804" t="s">
        <v>1490</v>
      </c>
      <c r="D150" s="812"/>
      <c r="E150" s="399" t="s">
        <v>1484</v>
      </c>
      <c r="F150" s="632"/>
      <c r="G150" s="633"/>
      <c r="H150" s="633"/>
      <c r="I150" s="633"/>
      <c r="J150" s="633"/>
      <c r="K150" s="633"/>
      <c r="L150" s="633"/>
      <c r="M150" s="724"/>
      <c r="N150" s="144"/>
    </row>
    <row r="151" spans="1:14" hidden="1">
      <c r="C151" s="813"/>
      <c r="D151" s="814"/>
      <c r="E151" s="320" t="s">
        <v>1492</v>
      </c>
      <c r="F151" s="632"/>
      <c r="G151" s="633"/>
      <c r="H151" s="633"/>
      <c r="I151" s="633"/>
      <c r="J151" s="633"/>
      <c r="K151" s="633"/>
      <c r="L151" s="633"/>
      <c r="M151" s="724"/>
      <c r="N151" s="144"/>
    </row>
    <row r="152" spans="1:14" hidden="1">
      <c r="C152" s="815"/>
      <c r="D152" s="816"/>
      <c r="E152" s="400" t="s">
        <v>1485</v>
      </c>
      <c r="F152" s="632"/>
      <c r="G152" s="633"/>
      <c r="H152" s="633"/>
      <c r="I152" s="633"/>
      <c r="J152" s="633"/>
      <c r="K152" s="633"/>
      <c r="L152" s="633"/>
      <c r="M152" s="724"/>
      <c r="N152" s="144"/>
    </row>
    <row r="153" spans="1:14" hidden="1">
      <c r="C153" s="804" t="s">
        <v>1491</v>
      </c>
      <c r="D153" s="817"/>
      <c r="E153" s="360" t="s">
        <v>1486</v>
      </c>
      <c r="F153" s="632"/>
      <c r="G153" s="633"/>
      <c r="H153" s="633"/>
      <c r="I153" s="633"/>
      <c r="J153" s="633"/>
      <c r="K153" s="633"/>
      <c r="L153" s="633"/>
      <c r="M153" s="724"/>
      <c r="N153" s="144"/>
    </row>
    <row r="154" spans="1:14" hidden="1">
      <c r="C154" s="813"/>
      <c r="D154" s="818"/>
      <c r="E154" s="360" t="s">
        <v>1487</v>
      </c>
      <c r="F154" s="632"/>
      <c r="G154" s="633"/>
      <c r="H154" s="633"/>
      <c r="I154" s="633"/>
      <c r="J154" s="633"/>
      <c r="K154" s="633"/>
      <c r="L154" s="633"/>
      <c r="M154" s="724"/>
      <c r="N154" s="144"/>
    </row>
    <row r="155" spans="1:14" hidden="1">
      <c r="C155" s="813"/>
      <c r="D155" s="818"/>
      <c r="E155" s="360" t="s">
        <v>1488</v>
      </c>
      <c r="F155" s="632"/>
      <c r="G155" s="633"/>
      <c r="H155" s="633"/>
      <c r="I155" s="633"/>
      <c r="J155" s="633"/>
      <c r="K155" s="633"/>
      <c r="L155" s="633"/>
      <c r="M155" s="724"/>
      <c r="N155" s="144"/>
    </row>
    <row r="156" spans="1:14" hidden="1">
      <c r="C156" s="815"/>
      <c r="D156" s="819"/>
      <c r="E156" s="360" t="s">
        <v>1489</v>
      </c>
      <c r="F156" s="632"/>
      <c r="G156" s="633"/>
      <c r="H156" s="633"/>
      <c r="I156" s="633"/>
      <c r="J156" s="633"/>
      <c r="K156" s="633"/>
      <c r="L156" s="633"/>
      <c r="M156" s="724"/>
      <c r="N156" s="144"/>
    </row>
    <row r="157" spans="1:14" ht="45" hidden="1" customHeight="1">
      <c r="C157" s="654" t="str">
        <f>IF($E147="No","Results of the consultation of airspace users' representatives", "Benefits for airspace users and results of the consultation of airspace users' representatives")</f>
        <v>Benefits for airspace users and results of the consultation of airspace users' representatives</v>
      </c>
      <c r="D157" s="655"/>
      <c r="E157" s="820"/>
      <c r="F157" s="809"/>
      <c r="G157" s="809"/>
      <c r="H157" s="809"/>
      <c r="I157" s="809"/>
      <c r="J157" s="809"/>
      <c r="K157" s="809"/>
      <c r="L157" s="809"/>
      <c r="M157" s="809"/>
      <c r="N157" s="144"/>
    </row>
    <row r="158" spans="1:14" hidden="1">
      <c r="B158"/>
      <c r="C158" s="654" t="s">
        <v>996</v>
      </c>
      <c r="D158" s="655"/>
      <c r="E158" s="189" t="s">
        <v>240</v>
      </c>
      <c r="F158" s="806"/>
      <c r="G158" s="807"/>
      <c r="H158" s="807"/>
      <c r="I158" s="807"/>
      <c r="J158" s="807"/>
      <c r="K158" s="807"/>
      <c r="L158" s="807"/>
      <c r="M158" s="807"/>
      <c r="N158" s="144"/>
    </row>
    <row r="159" spans="1:14" hidden="1">
      <c r="B159"/>
      <c r="C159" s="654" t="s">
        <v>326</v>
      </c>
      <c r="D159" s="655"/>
      <c r="E159" s="189" t="s">
        <v>240</v>
      </c>
      <c r="F159" s="806"/>
      <c r="G159" s="807"/>
      <c r="H159" s="807"/>
      <c r="I159" s="807"/>
      <c r="J159" s="807"/>
      <c r="K159" s="807"/>
      <c r="L159" s="807"/>
      <c r="M159" s="807"/>
      <c r="N159" s="144"/>
    </row>
    <row r="160" spans="1:14" ht="15" hidden="1" customHeight="1">
      <c r="B160"/>
      <c r="C160" s="804" t="s">
        <v>997</v>
      </c>
      <c r="D160" s="805"/>
      <c r="E160" s="189" t="s">
        <v>240</v>
      </c>
      <c r="F160" s="806"/>
      <c r="G160" s="807"/>
      <c r="H160" s="807"/>
      <c r="I160" s="807"/>
      <c r="J160" s="807"/>
      <c r="K160" s="807"/>
      <c r="L160" s="807"/>
      <c r="M160" s="807"/>
      <c r="N160" s="144"/>
    </row>
    <row r="161" spans="1:14" ht="30" hidden="1" customHeight="1">
      <c r="B161"/>
      <c r="C161" s="804" t="s">
        <v>327</v>
      </c>
      <c r="D161" s="805"/>
      <c r="E161" s="189" t="s">
        <v>240</v>
      </c>
      <c r="F161" s="806"/>
      <c r="G161" s="807"/>
      <c r="H161" s="807"/>
      <c r="I161" s="807"/>
      <c r="J161" s="807"/>
      <c r="K161" s="807"/>
      <c r="L161" s="807"/>
      <c r="M161" s="807"/>
      <c r="N161" s="144"/>
    </row>
    <row r="162" spans="1:14" ht="9" hidden="1" customHeight="1">
      <c r="C162" s="132"/>
      <c r="D162" s="132"/>
      <c r="E162" s="132"/>
      <c r="F162" s="132"/>
      <c r="G162" s="132"/>
      <c r="H162" s="132"/>
      <c r="I162" s="132"/>
      <c r="J162" s="132"/>
      <c r="K162" s="132"/>
      <c r="L162" s="132"/>
      <c r="M162" s="132"/>
    </row>
    <row r="163" spans="1:14" ht="15" hidden="1" customHeight="1"/>
    <row r="164" spans="1:14" ht="15" hidden="1" customHeight="1">
      <c r="A164" s="6" t="s">
        <v>693</v>
      </c>
      <c r="C164" s="798" t="s">
        <v>648</v>
      </c>
      <c r="D164" s="799"/>
      <c r="E164" s="800" t="str">
        <f>IF(C15="","",C15)</f>
        <v/>
      </c>
      <c r="F164" s="801"/>
      <c r="G164" s="801"/>
      <c r="H164" s="801"/>
      <c r="I164" s="801"/>
      <c r="J164" s="654" t="s">
        <v>322</v>
      </c>
      <c r="K164" s="655"/>
      <c r="L164" s="802">
        <f>D15</f>
        <v>0</v>
      </c>
      <c r="M164" s="803"/>
      <c r="N164" s="144"/>
    </row>
    <row r="165" spans="1:14" ht="45" hidden="1" customHeight="1">
      <c r="C165" s="654" t="s">
        <v>995</v>
      </c>
      <c r="D165" s="655"/>
      <c r="E165" s="808"/>
      <c r="F165" s="809"/>
      <c r="G165" s="809"/>
      <c r="H165" s="809"/>
      <c r="I165" s="809"/>
      <c r="J165" s="809"/>
      <c r="K165" s="809"/>
      <c r="L165" s="809"/>
      <c r="M165" s="809"/>
      <c r="N165" s="144"/>
    </row>
    <row r="166" spans="1:14" ht="60" hidden="1" customHeight="1">
      <c r="C166" s="810" t="str">
        <f>"The investment is mandated by a SES Regulation (i.e. PCP/CP1/Interoperability)?" &amp; IF($E166="yes"," Ref. to the Regulation and, if funded through Union assistance programmes, ref. to the relevant grant agreement.)","")</f>
        <v>The investment is mandated by a SES Regulation (i.e. PCP/CP1/Interoperability)?</v>
      </c>
      <c r="D166" s="811"/>
      <c r="E166" s="398" t="s">
        <v>240</v>
      </c>
      <c r="F166" s="632"/>
      <c r="G166" s="633"/>
      <c r="H166" s="633"/>
      <c r="I166" s="633"/>
      <c r="J166" s="633"/>
      <c r="K166" s="633"/>
      <c r="L166" s="633"/>
      <c r="M166" s="724"/>
      <c r="N166" s="144"/>
    </row>
    <row r="167" spans="1:14" ht="15" hidden="1" customHeight="1">
      <c r="C167" s="654" t="s">
        <v>1725</v>
      </c>
      <c r="D167" s="825"/>
      <c r="E167" s="417" t="s">
        <v>1550</v>
      </c>
      <c r="F167" s="417" t="s">
        <v>1551</v>
      </c>
      <c r="G167" s="417" t="s">
        <v>1552</v>
      </c>
      <c r="H167" s="417" t="s">
        <v>1553</v>
      </c>
      <c r="I167" s="417" t="s">
        <v>1554</v>
      </c>
      <c r="J167" s="417" t="s">
        <v>1555</v>
      </c>
      <c r="K167" s="417" t="s">
        <v>1556</v>
      </c>
      <c r="L167" s="821"/>
      <c r="M167" s="822"/>
      <c r="N167" s="144"/>
    </row>
    <row r="168" spans="1:14" ht="30" hidden="1" customHeight="1">
      <c r="C168" s="826"/>
      <c r="D168" s="827"/>
      <c r="E168" s="411"/>
      <c r="F168" s="411"/>
      <c r="G168" s="411"/>
      <c r="H168" s="411"/>
      <c r="I168" s="411"/>
      <c r="J168" s="411"/>
      <c r="K168" s="411"/>
      <c r="L168" s="823"/>
      <c r="M168" s="824"/>
      <c r="N168" s="144"/>
    </row>
    <row r="169" spans="1:14" ht="15" hidden="1" customHeight="1">
      <c r="C169" s="804" t="s">
        <v>1490</v>
      </c>
      <c r="D169" s="812"/>
      <c r="E169" s="399" t="s">
        <v>1484</v>
      </c>
      <c r="F169" s="632"/>
      <c r="G169" s="633"/>
      <c r="H169" s="633"/>
      <c r="I169" s="633"/>
      <c r="J169" s="633"/>
      <c r="K169" s="633"/>
      <c r="L169" s="633"/>
      <c r="M169" s="724"/>
      <c r="N169" s="144"/>
    </row>
    <row r="170" spans="1:14" hidden="1">
      <c r="C170" s="813"/>
      <c r="D170" s="814"/>
      <c r="E170" s="320" t="s">
        <v>1492</v>
      </c>
      <c r="F170" s="632"/>
      <c r="G170" s="633"/>
      <c r="H170" s="633"/>
      <c r="I170" s="633"/>
      <c r="J170" s="633"/>
      <c r="K170" s="633"/>
      <c r="L170" s="633"/>
      <c r="M170" s="724"/>
      <c r="N170" s="144"/>
    </row>
    <row r="171" spans="1:14" hidden="1">
      <c r="C171" s="815"/>
      <c r="D171" s="816"/>
      <c r="E171" s="400" t="s">
        <v>1485</v>
      </c>
      <c r="F171" s="632"/>
      <c r="G171" s="633"/>
      <c r="H171" s="633"/>
      <c r="I171" s="633"/>
      <c r="J171" s="633"/>
      <c r="K171" s="633"/>
      <c r="L171" s="633"/>
      <c r="M171" s="724"/>
      <c r="N171" s="144"/>
    </row>
    <row r="172" spans="1:14" hidden="1">
      <c r="C172" s="804" t="s">
        <v>1491</v>
      </c>
      <c r="D172" s="817"/>
      <c r="E172" s="360" t="s">
        <v>1486</v>
      </c>
      <c r="F172" s="632"/>
      <c r="G172" s="633"/>
      <c r="H172" s="633"/>
      <c r="I172" s="633"/>
      <c r="J172" s="633"/>
      <c r="K172" s="633"/>
      <c r="L172" s="633"/>
      <c r="M172" s="724"/>
      <c r="N172" s="144"/>
    </row>
    <row r="173" spans="1:14" hidden="1">
      <c r="C173" s="813"/>
      <c r="D173" s="818"/>
      <c r="E173" s="360" t="s">
        <v>1487</v>
      </c>
      <c r="F173" s="632"/>
      <c r="G173" s="633"/>
      <c r="H173" s="633"/>
      <c r="I173" s="633"/>
      <c r="J173" s="633"/>
      <c r="K173" s="633"/>
      <c r="L173" s="633"/>
      <c r="M173" s="724"/>
      <c r="N173" s="144"/>
    </row>
    <row r="174" spans="1:14" hidden="1">
      <c r="C174" s="813"/>
      <c r="D174" s="818"/>
      <c r="E174" s="360" t="s">
        <v>1488</v>
      </c>
      <c r="F174" s="632"/>
      <c r="G174" s="633"/>
      <c r="H174" s="633"/>
      <c r="I174" s="633"/>
      <c r="J174" s="633"/>
      <c r="K174" s="633"/>
      <c r="L174" s="633"/>
      <c r="M174" s="724"/>
      <c r="N174" s="144"/>
    </row>
    <row r="175" spans="1:14" hidden="1">
      <c r="C175" s="815"/>
      <c r="D175" s="819"/>
      <c r="E175" s="360" t="s">
        <v>1489</v>
      </c>
      <c r="F175" s="632"/>
      <c r="G175" s="633"/>
      <c r="H175" s="633"/>
      <c r="I175" s="633"/>
      <c r="J175" s="633"/>
      <c r="K175" s="633"/>
      <c r="L175" s="633"/>
      <c r="M175" s="724"/>
      <c r="N175" s="144"/>
    </row>
    <row r="176" spans="1:14" ht="45" hidden="1" customHeight="1">
      <c r="C176" s="654" t="str">
        <f>IF($E166="No","Results of the consultation of airspace users' representatives", "Benefits for airspace users and results of the consultation of airspace users' representatives")</f>
        <v>Benefits for airspace users and results of the consultation of airspace users' representatives</v>
      </c>
      <c r="D176" s="655"/>
      <c r="E176" s="820"/>
      <c r="F176" s="809"/>
      <c r="G176" s="809"/>
      <c r="H176" s="809"/>
      <c r="I176" s="809"/>
      <c r="J176" s="809"/>
      <c r="K176" s="809"/>
      <c r="L176" s="809"/>
      <c r="M176" s="809"/>
      <c r="N176" s="144"/>
    </row>
    <row r="177" spans="1:14" hidden="1">
      <c r="C177" s="654" t="s">
        <v>996</v>
      </c>
      <c r="D177" s="655"/>
      <c r="E177" s="189" t="s">
        <v>240</v>
      </c>
      <c r="F177" s="806"/>
      <c r="G177" s="807"/>
      <c r="H177" s="807"/>
      <c r="I177" s="807"/>
      <c r="J177" s="807"/>
      <c r="K177" s="807"/>
      <c r="L177" s="807"/>
      <c r="M177" s="807"/>
      <c r="N177" s="144"/>
    </row>
    <row r="178" spans="1:14" ht="15" hidden="1" customHeight="1">
      <c r="C178" s="654" t="s">
        <v>326</v>
      </c>
      <c r="D178" s="655"/>
      <c r="E178" s="189" t="s">
        <v>240</v>
      </c>
      <c r="F178" s="806"/>
      <c r="G178" s="807"/>
      <c r="H178" s="807"/>
      <c r="I178" s="807"/>
      <c r="J178" s="807"/>
      <c r="K178" s="807"/>
      <c r="L178" s="807"/>
      <c r="M178" s="807"/>
      <c r="N178" s="144"/>
    </row>
    <row r="179" spans="1:14" ht="15" hidden="1" customHeight="1">
      <c r="C179" s="804" t="s">
        <v>997</v>
      </c>
      <c r="D179" s="805"/>
      <c r="E179" s="189" t="s">
        <v>240</v>
      </c>
      <c r="F179" s="806"/>
      <c r="G179" s="807"/>
      <c r="H179" s="807"/>
      <c r="I179" s="807"/>
      <c r="J179" s="807"/>
      <c r="K179" s="807"/>
      <c r="L179" s="807"/>
      <c r="M179" s="807"/>
      <c r="N179" s="144"/>
    </row>
    <row r="180" spans="1:14" ht="30" hidden="1" customHeight="1">
      <c r="C180" s="804" t="s">
        <v>327</v>
      </c>
      <c r="D180" s="805"/>
      <c r="E180" s="189" t="s">
        <v>240</v>
      </c>
      <c r="F180" s="806"/>
      <c r="G180" s="807"/>
      <c r="H180" s="807"/>
      <c r="I180" s="807"/>
      <c r="J180" s="807"/>
      <c r="K180" s="807"/>
      <c r="L180" s="807"/>
      <c r="M180" s="807"/>
      <c r="N180" s="144"/>
    </row>
    <row r="181" spans="1:14" ht="9" hidden="1" customHeight="1">
      <c r="C181" s="132"/>
      <c r="D181" s="132"/>
      <c r="E181" s="132"/>
      <c r="F181" s="132"/>
      <c r="G181" s="132"/>
      <c r="H181" s="132"/>
      <c r="I181" s="132"/>
      <c r="J181" s="132"/>
      <c r="K181" s="132"/>
      <c r="L181" s="132"/>
      <c r="M181" s="132"/>
    </row>
    <row r="182" spans="1:14" hidden="1"/>
    <row r="183" spans="1:14" hidden="1">
      <c r="A183" s="6" t="s">
        <v>693</v>
      </c>
      <c r="C183" s="798" t="s">
        <v>649</v>
      </c>
      <c r="D183" s="799"/>
      <c r="E183" s="800" t="str">
        <f>IF(C16="","",C16)</f>
        <v/>
      </c>
      <c r="F183" s="801"/>
      <c r="G183" s="801"/>
      <c r="H183" s="801"/>
      <c r="I183" s="801"/>
      <c r="J183" s="654" t="s">
        <v>322</v>
      </c>
      <c r="K183" s="655"/>
      <c r="L183" s="802">
        <f>D16</f>
        <v>0</v>
      </c>
      <c r="M183" s="803"/>
      <c r="N183" s="144"/>
    </row>
    <row r="184" spans="1:14" ht="45" hidden="1" customHeight="1">
      <c r="C184" s="654" t="s">
        <v>995</v>
      </c>
      <c r="D184" s="655"/>
      <c r="E184" s="808"/>
      <c r="F184" s="809"/>
      <c r="G184" s="809"/>
      <c r="H184" s="809"/>
      <c r="I184" s="809"/>
      <c r="J184" s="809"/>
      <c r="K184" s="809"/>
      <c r="L184" s="809"/>
      <c r="M184" s="809"/>
      <c r="N184" s="144"/>
    </row>
    <row r="185" spans="1:14" ht="60" hidden="1" customHeight="1">
      <c r="C185" s="810" t="str">
        <f>"The investment is mandated by a SES Regulation (i.e. PCP/CP1/Interoperability)?" &amp; IF($E185="yes"," Ref. to the Regulation and, if funded through Union assistance programmes, ref. to the relevant grant agreement.)","")</f>
        <v>The investment is mandated by a SES Regulation (i.e. PCP/CP1/Interoperability)?</v>
      </c>
      <c r="D185" s="811"/>
      <c r="E185" s="398" t="s">
        <v>240</v>
      </c>
      <c r="F185" s="632"/>
      <c r="G185" s="633"/>
      <c r="H185" s="633"/>
      <c r="I185" s="633"/>
      <c r="J185" s="633"/>
      <c r="K185" s="633"/>
      <c r="L185" s="633"/>
      <c r="M185" s="724"/>
      <c r="N185" s="144"/>
    </row>
    <row r="186" spans="1:14" ht="15" hidden="1" customHeight="1">
      <c r="C186" s="654" t="s">
        <v>1725</v>
      </c>
      <c r="D186" s="825"/>
      <c r="E186" s="417" t="s">
        <v>1550</v>
      </c>
      <c r="F186" s="417" t="s">
        <v>1551</v>
      </c>
      <c r="G186" s="417" t="s">
        <v>1552</v>
      </c>
      <c r="H186" s="417" t="s">
        <v>1553</v>
      </c>
      <c r="I186" s="417" t="s">
        <v>1554</v>
      </c>
      <c r="J186" s="417" t="s">
        <v>1555</v>
      </c>
      <c r="K186" s="417" t="s">
        <v>1556</v>
      </c>
      <c r="L186" s="821"/>
      <c r="M186" s="822"/>
      <c r="N186" s="144"/>
    </row>
    <row r="187" spans="1:14" ht="30" hidden="1" customHeight="1">
      <c r="C187" s="826"/>
      <c r="D187" s="827"/>
      <c r="E187" s="411"/>
      <c r="F187" s="411"/>
      <c r="G187" s="411"/>
      <c r="H187" s="411"/>
      <c r="I187" s="411"/>
      <c r="J187" s="411"/>
      <c r="K187" s="411"/>
      <c r="L187" s="823"/>
      <c r="M187" s="824"/>
      <c r="N187" s="144"/>
    </row>
    <row r="188" spans="1:14" ht="15" hidden="1" customHeight="1">
      <c r="C188" s="804" t="s">
        <v>1490</v>
      </c>
      <c r="D188" s="812"/>
      <c r="E188" s="399" t="s">
        <v>1484</v>
      </c>
      <c r="F188" s="632"/>
      <c r="G188" s="633"/>
      <c r="H188" s="633"/>
      <c r="I188" s="633"/>
      <c r="J188" s="633"/>
      <c r="K188" s="633"/>
      <c r="L188" s="633"/>
      <c r="M188" s="724"/>
      <c r="N188" s="144"/>
    </row>
    <row r="189" spans="1:14" hidden="1">
      <c r="C189" s="813"/>
      <c r="D189" s="814"/>
      <c r="E189" s="320" t="s">
        <v>1492</v>
      </c>
      <c r="F189" s="632"/>
      <c r="G189" s="633"/>
      <c r="H189" s="633"/>
      <c r="I189" s="633"/>
      <c r="J189" s="633"/>
      <c r="K189" s="633"/>
      <c r="L189" s="633"/>
      <c r="M189" s="724"/>
      <c r="N189" s="144"/>
    </row>
    <row r="190" spans="1:14" hidden="1">
      <c r="C190" s="815"/>
      <c r="D190" s="816"/>
      <c r="E190" s="400" t="s">
        <v>1485</v>
      </c>
      <c r="F190" s="632"/>
      <c r="G190" s="633"/>
      <c r="H190" s="633"/>
      <c r="I190" s="633"/>
      <c r="J190" s="633"/>
      <c r="K190" s="633"/>
      <c r="L190" s="633"/>
      <c r="M190" s="724"/>
      <c r="N190" s="144"/>
    </row>
    <row r="191" spans="1:14" hidden="1">
      <c r="C191" s="804" t="s">
        <v>1491</v>
      </c>
      <c r="D191" s="817"/>
      <c r="E191" s="360" t="s">
        <v>1486</v>
      </c>
      <c r="F191" s="632"/>
      <c r="G191" s="633"/>
      <c r="H191" s="633"/>
      <c r="I191" s="633"/>
      <c r="J191" s="633"/>
      <c r="K191" s="633"/>
      <c r="L191" s="633"/>
      <c r="M191" s="724"/>
      <c r="N191" s="144"/>
    </row>
    <row r="192" spans="1:14" hidden="1">
      <c r="C192" s="813"/>
      <c r="D192" s="818"/>
      <c r="E192" s="360" t="s">
        <v>1487</v>
      </c>
      <c r="F192" s="632"/>
      <c r="G192" s="633"/>
      <c r="H192" s="633"/>
      <c r="I192" s="633"/>
      <c r="J192" s="633"/>
      <c r="K192" s="633"/>
      <c r="L192" s="633"/>
      <c r="M192" s="724"/>
      <c r="N192" s="144"/>
    </row>
    <row r="193" spans="1:14" hidden="1">
      <c r="C193" s="813"/>
      <c r="D193" s="818"/>
      <c r="E193" s="360" t="s">
        <v>1488</v>
      </c>
      <c r="F193" s="632"/>
      <c r="G193" s="633"/>
      <c r="H193" s="633"/>
      <c r="I193" s="633"/>
      <c r="J193" s="633"/>
      <c r="K193" s="633"/>
      <c r="L193" s="633"/>
      <c r="M193" s="724"/>
      <c r="N193" s="144"/>
    </row>
    <row r="194" spans="1:14" hidden="1">
      <c r="C194" s="815"/>
      <c r="D194" s="819"/>
      <c r="E194" s="360" t="s">
        <v>1489</v>
      </c>
      <c r="F194" s="632"/>
      <c r="G194" s="633"/>
      <c r="H194" s="633"/>
      <c r="I194" s="633"/>
      <c r="J194" s="633"/>
      <c r="K194" s="633"/>
      <c r="L194" s="633"/>
      <c r="M194" s="724"/>
      <c r="N194" s="144"/>
    </row>
    <row r="195" spans="1:14" ht="45" hidden="1" customHeight="1">
      <c r="C195" s="654" t="str">
        <f>IF($E185="No","Results of the consultation of airspace users' representatives", "Benefits for airspace users and results of the consultation of airspace users' representatives")</f>
        <v>Benefits for airspace users and results of the consultation of airspace users' representatives</v>
      </c>
      <c r="D195" s="655"/>
      <c r="E195" s="820"/>
      <c r="F195" s="809"/>
      <c r="G195" s="809"/>
      <c r="H195" s="809"/>
      <c r="I195" s="809"/>
      <c r="J195" s="809"/>
      <c r="K195" s="809"/>
      <c r="L195" s="809"/>
      <c r="M195" s="809"/>
      <c r="N195" s="144"/>
    </row>
    <row r="196" spans="1:14" hidden="1">
      <c r="C196" s="654" t="s">
        <v>996</v>
      </c>
      <c r="D196" s="655"/>
      <c r="E196" s="189" t="s">
        <v>240</v>
      </c>
      <c r="F196" s="806"/>
      <c r="G196" s="807"/>
      <c r="H196" s="807"/>
      <c r="I196" s="807"/>
      <c r="J196" s="807"/>
      <c r="K196" s="807"/>
      <c r="L196" s="807"/>
      <c r="M196" s="807"/>
      <c r="N196" s="144"/>
    </row>
    <row r="197" spans="1:14" hidden="1">
      <c r="C197" s="654" t="s">
        <v>326</v>
      </c>
      <c r="D197" s="655"/>
      <c r="E197" s="189" t="s">
        <v>240</v>
      </c>
      <c r="F197" s="806"/>
      <c r="G197" s="807"/>
      <c r="H197" s="807"/>
      <c r="I197" s="807"/>
      <c r="J197" s="807"/>
      <c r="K197" s="807"/>
      <c r="L197" s="807"/>
      <c r="M197" s="807"/>
      <c r="N197" s="144"/>
    </row>
    <row r="198" spans="1:14" ht="15" hidden="1" customHeight="1">
      <c r="C198" s="804" t="s">
        <v>997</v>
      </c>
      <c r="D198" s="805"/>
      <c r="E198" s="189" t="s">
        <v>240</v>
      </c>
      <c r="F198" s="806"/>
      <c r="G198" s="807"/>
      <c r="H198" s="807"/>
      <c r="I198" s="807"/>
      <c r="J198" s="807"/>
      <c r="K198" s="807"/>
      <c r="L198" s="807"/>
      <c r="M198" s="807"/>
      <c r="N198" s="144"/>
    </row>
    <row r="199" spans="1:14" ht="30" hidden="1" customHeight="1">
      <c r="C199" s="804" t="s">
        <v>327</v>
      </c>
      <c r="D199" s="805"/>
      <c r="E199" s="189" t="s">
        <v>240</v>
      </c>
      <c r="F199" s="806"/>
      <c r="G199" s="807"/>
      <c r="H199" s="807"/>
      <c r="I199" s="807"/>
      <c r="J199" s="807"/>
      <c r="K199" s="807"/>
      <c r="L199" s="807"/>
      <c r="M199" s="807"/>
      <c r="N199" s="144"/>
    </row>
    <row r="200" spans="1:14" ht="9" hidden="1" customHeight="1">
      <c r="C200" s="132"/>
      <c r="D200" s="132"/>
      <c r="E200" s="132"/>
      <c r="F200" s="132"/>
      <c r="G200" s="132"/>
      <c r="H200" s="132"/>
      <c r="I200" s="132"/>
      <c r="J200" s="132"/>
      <c r="K200" s="132"/>
      <c r="L200" s="132"/>
      <c r="M200" s="132"/>
    </row>
    <row r="201" spans="1:14" hidden="1"/>
    <row r="202" spans="1:14" hidden="1">
      <c r="A202" s="6" t="s">
        <v>693</v>
      </c>
      <c r="C202" s="798" t="s">
        <v>650</v>
      </c>
      <c r="D202" s="799"/>
      <c r="E202" s="800" t="str">
        <f>IF(C17="","",C17)</f>
        <v/>
      </c>
      <c r="F202" s="801"/>
      <c r="G202" s="801"/>
      <c r="H202" s="801"/>
      <c r="I202" s="801"/>
      <c r="J202" s="654" t="s">
        <v>322</v>
      </c>
      <c r="K202" s="655"/>
      <c r="L202" s="802">
        <f>D17</f>
        <v>0</v>
      </c>
      <c r="M202" s="803"/>
      <c r="N202" s="144"/>
    </row>
    <row r="203" spans="1:14" ht="45" hidden="1" customHeight="1">
      <c r="C203" s="654" t="s">
        <v>995</v>
      </c>
      <c r="D203" s="655"/>
      <c r="E203" s="808"/>
      <c r="F203" s="809"/>
      <c r="G203" s="809"/>
      <c r="H203" s="809"/>
      <c r="I203" s="809"/>
      <c r="J203" s="809"/>
      <c r="K203" s="809"/>
      <c r="L203" s="809"/>
      <c r="M203" s="809"/>
      <c r="N203" s="144"/>
    </row>
    <row r="204" spans="1:14" ht="60" hidden="1" customHeight="1">
      <c r="C204" s="810" t="str">
        <f>"The investment is mandated by a SES Regulation (i.e. PCP/CP1/Interoperability)?" &amp; IF($E204="yes"," Ref. to the Regulation and, if funded through Union assistance programmes, ref. to the relevant grant agreement.)","")</f>
        <v>The investment is mandated by a SES Regulation (i.e. PCP/CP1/Interoperability)?</v>
      </c>
      <c r="D204" s="811"/>
      <c r="E204" s="398" t="s">
        <v>240</v>
      </c>
      <c r="F204" s="632"/>
      <c r="G204" s="633"/>
      <c r="H204" s="633"/>
      <c r="I204" s="633"/>
      <c r="J204" s="633"/>
      <c r="K204" s="633"/>
      <c r="L204" s="633"/>
      <c r="M204" s="724"/>
      <c r="N204" s="144"/>
    </row>
    <row r="205" spans="1:14" ht="15" hidden="1" customHeight="1">
      <c r="C205" s="654" t="s">
        <v>1725</v>
      </c>
      <c r="D205" s="825"/>
      <c r="E205" s="417" t="s">
        <v>1550</v>
      </c>
      <c r="F205" s="417" t="s">
        <v>1551</v>
      </c>
      <c r="G205" s="417" t="s">
        <v>1552</v>
      </c>
      <c r="H205" s="417" t="s">
        <v>1553</v>
      </c>
      <c r="I205" s="417" t="s">
        <v>1554</v>
      </c>
      <c r="J205" s="417" t="s">
        <v>1555</v>
      </c>
      <c r="K205" s="417" t="s">
        <v>1556</v>
      </c>
      <c r="L205" s="821"/>
      <c r="M205" s="822"/>
      <c r="N205" s="144"/>
    </row>
    <row r="206" spans="1:14" ht="30" hidden="1" customHeight="1">
      <c r="C206" s="826"/>
      <c r="D206" s="827"/>
      <c r="E206" s="411"/>
      <c r="F206" s="411"/>
      <c r="G206" s="411"/>
      <c r="H206" s="411"/>
      <c r="I206" s="411"/>
      <c r="J206" s="411"/>
      <c r="K206" s="411"/>
      <c r="L206" s="823"/>
      <c r="M206" s="824"/>
      <c r="N206" s="144"/>
    </row>
    <row r="207" spans="1:14" ht="15" hidden="1" customHeight="1">
      <c r="C207" s="804" t="s">
        <v>1490</v>
      </c>
      <c r="D207" s="812"/>
      <c r="E207" s="399" t="s">
        <v>1484</v>
      </c>
      <c r="F207" s="632"/>
      <c r="G207" s="633"/>
      <c r="H207" s="633"/>
      <c r="I207" s="633"/>
      <c r="J207" s="633"/>
      <c r="K207" s="633"/>
      <c r="L207" s="633"/>
      <c r="M207" s="724"/>
      <c r="N207" s="144"/>
    </row>
    <row r="208" spans="1:14" hidden="1">
      <c r="C208" s="813"/>
      <c r="D208" s="814"/>
      <c r="E208" s="320" t="s">
        <v>1492</v>
      </c>
      <c r="F208" s="632"/>
      <c r="G208" s="633"/>
      <c r="H208" s="633"/>
      <c r="I208" s="633"/>
      <c r="J208" s="633"/>
      <c r="K208" s="633"/>
      <c r="L208" s="633"/>
      <c r="M208" s="724"/>
      <c r="N208" s="144"/>
    </row>
    <row r="209" spans="1:14" hidden="1">
      <c r="C209" s="815"/>
      <c r="D209" s="816"/>
      <c r="E209" s="400" t="s">
        <v>1485</v>
      </c>
      <c r="F209" s="632"/>
      <c r="G209" s="633"/>
      <c r="H209" s="633"/>
      <c r="I209" s="633"/>
      <c r="J209" s="633"/>
      <c r="K209" s="633"/>
      <c r="L209" s="633"/>
      <c r="M209" s="724"/>
      <c r="N209" s="144"/>
    </row>
    <row r="210" spans="1:14" hidden="1">
      <c r="C210" s="804" t="s">
        <v>1491</v>
      </c>
      <c r="D210" s="817"/>
      <c r="E210" s="360" t="s">
        <v>1486</v>
      </c>
      <c r="F210" s="632"/>
      <c r="G210" s="633"/>
      <c r="H210" s="633"/>
      <c r="I210" s="633"/>
      <c r="J210" s="633"/>
      <c r="K210" s="633"/>
      <c r="L210" s="633"/>
      <c r="M210" s="724"/>
      <c r="N210" s="144"/>
    </row>
    <row r="211" spans="1:14" hidden="1">
      <c r="C211" s="813"/>
      <c r="D211" s="818"/>
      <c r="E211" s="360" t="s">
        <v>1487</v>
      </c>
      <c r="F211" s="632"/>
      <c r="G211" s="633"/>
      <c r="H211" s="633"/>
      <c r="I211" s="633"/>
      <c r="J211" s="633"/>
      <c r="K211" s="633"/>
      <c r="L211" s="633"/>
      <c r="M211" s="724"/>
      <c r="N211" s="144"/>
    </row>
    <row r="212" spans="1:14" hidden="1">
      <c r="C212" s="813"/>
      <c r="D212" s="818"/>
      <c r="E212" s="360" t="s">
        <v>1488</v>
      </c>
      <c r="F212" s="632"/>
      <c r="G212" s="633"/>
      <c r="H212" s="633"/>
      <c r="I212" s="633"/>
      <c r="J212" s="633"/>
      <c r="K212" s="633"/>
      <c r="L212" s="633"/>
      <c r="M212" s="724"/>
      <c r="N212" s="144"/>
    </row>
    <row r="213" spans="1:14" hidden="1">
      <c r="C213" s="815"/>
      <c r="D213" s="819"/>
      <c r="E213" s="360" t="s">
        <v>1489</v>
      </c>
      <c r="F213" s="632"/>
      <c r="G213" s="633"/>
      <c r="H213" s="633"/>
      <c r="I213" s="633"/>
      <c r="J213" s="633"/>
      <c r="K213" s="633"/>
      <c r="L213" s="633"/>
      <c r="M213" s="724"/>
      <c r="N213" s="144"/>
    </row>
    <row r="214" spans="1:14" ht="45" hidden="1" customHeight="1">
      <c r="C214" s="654" t="str">
        <f>IF($E204="No","Results of the consultation of airspace users' representatives", "Benefits for airspace users and results of the consultation of airspace users' representatives")</f>
        <v>Benefits for airspace users and results of the consultation of airspace users' representatives</v>
      </c>
      <c r="D214" s="655"/>
      <c r="E214" s="820"/>
      <c r="F214" s="809"/>
      <c r="G214" s="809"/>
      <c r="H214" s="809"/>
      <c r="I214" s="809"/>
      <c r="J214" s="809"/>
      <c r="K214" s="809"/>
      <c r="L214" s="809"/>
      <c r="M214" s="809"/>
      <c r="N214" s="144"/>
    </row>
    <row r="215" spans="1:14" hidden="1">
      <c r="C215" s="654" t="s">
        <v>996</v>
      </c>
      <c r="D215" s="655"/>
      <c r="E215" s="189" t="s">
        <v>240</v>
      </c>
      <c r="F215" s="806"/>
      <c r="G215" s="807"/>
      <c r="H215" s="807"/>
      <c r="I215" s="807"/>
      <c r="J215" s="807"/>
      <c r="K215" s="807"/>
      <c r="L215" s="807"/>
      <c r="M215" s="807"/>
      <c r="N215" s="144"/>
    </row>
    <row r="216" spans="1:14" hidden="1">
      <c r="C216" s="654" t="s">
        <v>326</v>
      </c>
      <c r="D216" s="655"/>
      <c r="E216" s="189" t="s">
        <v>240</v>
      </c>
      <c r="F216" s="806"/>
      <c r="G216" s="807"/>
      <c r="H216" s="807"/>
      <c r="I216" s="807"/>
      <c r="J216" s="807"/>
      <c r="K216" s="807"/>
      <c r="L216" s="807"/>
      <c r="M216" s="807"/>
      <c r="N216" s="144"/>
    </row>
    <row r="217" spans="1:14" ht="15" hidden="1" customHeight="1">
      <c r="C217" s="804" t="s">
        <v>997</v>
      </c>
      <c r="D217" s="805"/>
      <c r="E217" s="189" t="s">
        <v>240</v>
      </c>
      <c r="F217" s="806"/>
      <c r="G217" s="807"/>
      <c r="H217" s="807"/>
      <c r="I217" s="807"/>
      <c r="J217" s="807"/>
      <c r="K217" s="807"/>
      <c r="L217" s="807"/>
      <c r="M217" s="807"/>
      <c r="N217" s="144"/>
    </row>
    <row r="218" spans="1:14" ht="30" hidden="1" customHeight="1">
      <c r="C218" s="804" t="s">
        <v>327</v>
      </c>
      <c r="D218" s="805"/>
      <c r="E218" s="189" t="s">
        <v>240</v>
      </c>
      <c r="F218" s="806"/>
      <c r="G218" s="807"/>
      <c r="H218" s="807"/>
      <c r="I218" s="807"/>
      <c r="J218" s="807"/>
      <c r="K218" s="807"/>
      <c r="L218" s="807"/>
      <c r="M218" s="807"/>
      <c r="N218" s="144"/>
    </row>
    <row r="219" spans="1:14" ht="9" hidden="1" customHeight="1">
      <c r="C219" s="132"/>
      <c r="D219" s="132"/>
      <c r="E219" s="132"/>
      <c r="F219" s="132"/>
      <c r="G219" s="132"/>
      <c r="H219" s="132"/>
      <c r="I219" s="132"/>
      <c r="J219" s="132"/>
      <c r="K219" s="132"/>
      <c r="L219" s="132"/>
      <c r="M219" s="132"/>
    </row>
    <row r="220" spans="1:14" hidden="1"/>
    <row r="221" spans="1:14" hidden="1">
      <c r="A221" s="6" t="s">
        <v>693</v>
      </c>
      <c r="C221" s="798" t="s">
        <v>651</v>
      </c>
      <c r="D221" s="799"/>
      <c r="E221" s="800" t="str">
        <f>IF(C18="","",C18)</f>
        <v/>
      </c>
      <c r="F221" s="801"/>
      <c r="G221" s="801"/>
      <c r="H221" s="801"/>
      <c r="I221" s="801"/>
      <c r="J221" s="654" t="s">
        <v>322</v>
      </c>
      <c r="K221" s="655"/>
      <c r="L221" s="802">
        <f>D18</f>
        <v>0</v>
      </c>
      <c r="M221" s="803"/>
      <c r="N221" s="144"/>
    </row>
    <row r="222" spans="1:14" ht="45" hidden="1" customHeight="1">
      <c r="C222" s="654" t="s">
        <v>995</v>
      </c>
      <c r="D222" s="655"/>
      <c r="E222" s="808"/>
      <c r="F222" s="809"/>
      <c r="G222" s="809"/>
      <c r="H222" s="809"/>
      <c r="I222" s="809"/>
      <c r="J222" s="809"/>
      <c r="K222" s="809"/>
      <c r="L222" s="809"/>
      <c r="M222" s="809"/>
      <c r="N222" s="144"/>
    </row>
    <row r="223" spans="1:14" ht="60" hidden="1" customHeight="1">
      <c r="C223" s="810" t="str">
        <f>"The investment is mandated by a SES Regulation (i.e. PCP/CP1/Interoperability)?" &amp; IF($E223="yes"," Ref. to the Regulation and, if funded through Union assistance programmes, ref. to the relevant grant agreement.)","")</f>
        <v>The investment is mandated by a SES Regulation (i.e. PCP/CP1/Interoperability)?</v>
      </c>
      <c r="D223" s="811"/>
      <c r="E223" s="398" t="s">
        <v>240</v>
      </c>
      <c r="F223" s="632"/>
      <c r="G223" s="633"/>
      <c r="H223" s="633"/>
      <c r="I223" s="633"/>
      <c r="J223" s="633"/>
      <c r="K223" s="633"/>
      <c r="L223" s="633"/>
      <c r="M223" s="724"/>
      <c r="N223" s="144"/>
    </row>
    <row r="224" spans="1:14" ht="15" hidden="1" customHeight="1">
      <c r="C224" s="654" t="s">
        <v>1725</v>
      </c>
      <c r="D224" s="825"/>
      <c r="E224" s="417" t="s">
        <v>1550</v>
      </c>
      <c r="F224" s="417" t="s">
        <v>1551</v>
      </c>
      <c r="G224" s="417" t="s">
        <v>1552</v>
      </c>
      <c r="H224" s="417" t="s">
        <v>1553</v>
      </c>
      <c r="I224" s="417" t="s">
        <v>1554</v>
      </c>
      <c r="J224" s="417" t="s">
        <v>1555</v>
      </c>
      <c r="K224" s="417" t="s">
        <v>1556</v>
      </c>
      <c r="L224" s="821"/>
      <c r="M224" s="822"/>
      <c r="N224" s="144"/>
    </row>
    <row r="225" spans="1:14" ht="30" hidden="1" customHeight="1">
      <c r="C225" s="826"/>
      <c r="D225" s="827"/>
      <c r="E225" s="411"/>
      <c r="F225" s="411"/>
      <c r="G225" s="411"/>
      <c r="H225" s="411"/>
      <c r="I225" s="411"/>
      <c r="J225" s="411"/>
      <c r="K225" s="411"/>
      <c r="L225" s="823"/>
      <c r="M225" s="824"/>
      <c r="N225" s="144"/>
    </row>
    <row r="226" spans="1:14" ht="15" hidden="1" customHeight="1">
      <c r="C226" s="804" t="s">
        <v>1490</v>
      </c>
      <c r="D226" s="812"/>
      <c r="E226" s="399" t="s">
        <v>1484</v>
      </c>
      <c r="F226" s="632"/>
      <c r="G226" s="633"/>
      <c r="H226" s="633"/>
      <c r="I226" s="633"/>
      <c r="J226" s="633"/>
      <c r="K226" s="633"/>
      <c r="L226" s="633"/>
      <c r="M226" s="724"/>
      <c r="N226" s="144"/>
    </row>
    <row r="227" spans="1:14" hidden="1">
      <c r="C227" s="813"/>
      <c r="D227" s="814"/>
      <c r="E227" s="320" t="s">
        <v>1492</v>
      </c>
      <c r="F227" s="632"/>
      <c r="G227" s="633"/>
      <c r="H227" s="633"/>
      <c r="I227" s="633"/>
      <c r="J227" s="633"/>
      <c r="K227" s="633"/>
      <c r="L227" s="633"/>
      <c r="M227" s="724"/>
      <c r="N227" s="144"/>
    </row>
    <row r="228" spans="1:14" hidden="1">
      <c r="C228" s="815"/>
      <c r="D228" s="816"/>
      <c r="E228" s="400" t="s">
        <v>1485</v>
      </c>
      <c r="F228" s="632"/>
      <c r="G228" s="633"/>
      <c r="H228" s="633"/>
      <c r="I228" s="633"/>
      <c r="J228" s="633"/>
      <c r="K228" s="633"/>
      <c r="L228" s="633"/>
      <c r="M228" s="724"/>
      <c r="N228" s="144"/>
    </row>
    <row r="229" spans="1:14" hidden="1">
      <c r="C229" s="804" t="s">
        <v>1491</v>
      </c>
      <c r="D229" s="817"/>
      <c r="E229" s="360" t="s">
        <v>1486</v>
      </c>
      <c r="F229" s="632"/>
      <c r="G229" s="633"/>
      <c r="H229" s="633"/>
      <c r="I229" s="633"/>
      <c r="J229" s="633"/>
      <c r="K229" s="633"/>
      <c r="L229" s="633"/>
      <c r="M229" s="724"/>
      <c r="N229" s="144"/>
    </row>
    <row r="230" spans="1:14" hidden="1">
      <c r="C230" s="813"/>
      <c r="D230" s="818"/>
      <c r="E230" s="360" t="s">
        <v>1487</v>
      </c>
      <c r="F230" s="632"/>
      <c r="G230" s="633"/>
      <c r="H230" s="633"/>
      <c r="I230" s="633"/>
      <c r="J230" s="633"/>
      <c r="K230" s="633"/>
      <c r="L230" s="633"/>
      <c r="M230" s="724"/>
      <c r="N230" s="144"/>
    </row>
    <row r="231" spans="1:14" hidden="1">
      <c r="C231" s="813"/>
      <c r="D231" s="818"/>
      <c r="E231" s="360" t="s">
        <v>1488</v>
      </c>
      <c r="F231" s="632"/>
      <c r="G231" s="633"/>
      <c r="H231" s="633"/>
      <c r="I231" s="633"/>
      <c r="J231" s="633"/>
      <c r="K231" s="633"/>
      <c r="L231" s="633"/>
      <c r="M231" s="724"/>
      <c r="N231" s="144"/>
    </row>
    <row r="232" spans="1:14" hidden="1">
      <c r="C232" s="815"/>
      <c r="D232" s="819"/>
      <c r="E232" s="360" t="s">
        <v>1489</v>
      </c>
      <c r="F232" s="632"/>
      <c r="G232" s="633"/>
      <c r="H232" s="633"/>
      <c r="I232" s="633"/>
      <c r="J232" s="633"/>
      <c r="K232" s="633"/>
      <c r="L232" s="633"/>
      <c r="M232" s="724"/>
      <c r="N232" s="144"/>
    </row>
    <row r="233" spans="1:14" ht="45" hidden="1" customHeight="1">
      <c r="C233" s="654" t="str">
        <f>IF($E223="No","Results of the consultation of airspace users' representatives", "Benefits for airspace users and results of the consultation of airspace users' representatives")</f>
        <v>Benefits for airspace users and results of the consultation of airspace users' representatives</v>
      </c>
      <c r="D233" s="655"/>
      <c r="E233" s="820"/>
      <c r="F233" s="809"/>
      <c r="G233" s="809"/>
      <c r="H233" s="809"/>
      <c r="I233" s="809"/>
      <c r="J233" s="809"/>
      <c r="K233" s="809"/>
      <c r="L233" s="809"/>
      <c r="M233" s="809"/>
      <c r="N233" s="144"/>
    </row>
    <row r="234" spans="1:14" hidden="1">
      <c r="C234" s="654" t="s">
        <v>996</v>
      </c>
      <c r="D234" s="655"/>
      <c r="E234" s="189" t="s">
        <v>240</v>
      </c>
      <c r="F234" s="806"/>
      <c r="G234" s="807"/>
      <c r="H234" s="807"/>
      <c r="I234" s="807"/>
      <c r="J234" s="807"/>
      <c r="K234" s="807"/>
      <c r="L234" s="807"/>
      <c r="M234" s="807"/>
      <c r="N234" s="144"/>
    </row>
    <row r="235" spans="1:14" hidden="1">
      <c r="C235" s="654" t="s">
        <v>326</v>
      </c>
      <c r="D235" s="655"/>
      <c r="E235" s="189" t="s">
        <v>240</v>
      </c>
      <c r="F235" s="806"/>
      <c r="G235" s="807"/>
      <c r="H235" s="807"/>
      <c r="I235" s="807"/>
      <c r="J235" s="807"/>
      <c r="K235" s="807"/>
      <c r="L235" s="807"/>
      <c r="M235" s="807"/>
      <c r="N235" s="144"/>
    </row>
    <row r="236" spans="1:14" ht="15" hidden="1" customHeight="1">
      <c r="C236" s="804" t="s">
        <v>997</v>
      </c>
      <c r="D236" s="805"/>
      <c r="E236" s="189" t="s">
        <v>240</v>
      </c>
      <c r="F236" s="806"/>
      <c r="G236" s="807"/>
      <c r="H236" s="807"/>
      <c r="I236" s="807"/>
      <c r="J236" s="807"/>
      <c r="K236" s="807"/>
      <c r="L236" s="807"/>
      <c r="M236" s="807"/>
      <c r="N236" s="144"/>
    </row>
    <row r="237" spans="1:14" ht="30" hidden="1" customHeight="1">
      <c r="C237" s="804" t="s">
        <v>327</v>
      </c>
      <c r="D237" s="805"/>
      <c r="E237" s="189" t="s">
        <v>240</v>
      </c>
      <c r="F237" s="806"/>
      <c r="G237" s="807"/>
      <c r="H237" s="807"/>
      <c r="I237" s="807"/>
      <c r="J237" s="807"/>
      <c r="K237" s="807"/>
      <c r="L237" s="807"/>
      <c r="M237" s="807"/>
      <c r="N237" s="144"/>
    </row>
    <row r="238" spans="1:14" ht="9" hidden="1" customHeight="1">
      <c r="C238" s="132"/>
      <c r="D238" s="132"/>
      <c r="E238" s="132"/>
      <c r="F238" s="132"/>
      <c r="G238" s="132"/>
      <c r="H238" s="132"/>
      <c r="I238" s="132"/>
      <c r="J238" s="132"/>
      <c r="K238" s="132"/>
      <c r="L238" s="132"/>
      <c r="M238" s="132"/>
    </row>
    <row r="239" spans="1:14" hidden="1"/>
    <row r="240" spans="1:14" hidden="1">
      <c r="A240" s="6" t="s">
        <v>693</v>
      </c>
      <c r="C240" s="798" t="s">
        <v>652</v>
      </c>
      <c r="D240" s="799"/>
      <c r="E240" s="800" t="str">
        <f>IF(C19="","",C19)</f>
        <v/>
      </c>
      <c r="F240" s="801"/>
      <c r="G240" s="801"/>
      <c r="H240" s="801"/>
      <c r="I240" s="801"/>
      <c r="J240" s="654" t="s">
        <v>322</v>
      </c>
      <c r="K240" s="655"/>
      <c r="L240" s="802">
        <f>D19</f>
        <v>0</v>
      </c>
      <c r="M240" s="803"/>
      <c r="N240" s="144"/>
    </row>
    <row r="241" spans="3:14" ht="45" hidden="1" customHeight="1">
      <c r="C241" s="654" t="s">
        <v>995</v>
      </c>
      <c r="D241" s="655"/>
      <c r="E241" s="808"/>
      <c r="F241" s="809"/>
      <c r="G241" s="809"/>
      <c r="H241" s="809"/>
      <c r="I241" s="809"/>
      <c r="J241" s="809"/>
      <c r="K241" s="809"/>
      <c r="L241" s="809"/>
      <c r="M241" s="809"/>
      <c r="N241" s="144"/>
    </row>
    <row r="242" spans="3:14" ht="60" hidden="1" customHeight="1">
      <c r="C242" s="810" t="str">
        <f>"The investment is mandated by a SES Regulation (i.e. PCP/CP1/Interoperability)?" &amp; IF($E242="yes"," Ref. to the Regulation and, if funded through Union assistance programmes, ref. to the relevant grant agreement.)","")</f>
        <v>The investment is mandated by a SES Regulation (i.e. PCP/CP1/Interoperability)?</v>
      </c>
      <c r="D242" s="811"/>
      <c r="E242" s="398" t="s">
        <v>240</v>
      </c>
      <c r="F242" s="632"/>
      <c r="G242" s="633"/>
      <c r="H242" s="633"/>
      <c r="I242" s="633"/>
      <c r="J242" s="633"/>
      <c r="K242" s="633"/>
      <c r="L242" s="633"/>
      <c r="M242" s="724"/>
      <c r="N242" s="144"/>
    </row>
    <row r="243" spans="3:14" ht="15" hidden="1" customHeight="1">
      <c r="C243" s="654" t="s">
        <v>1725</v>
      </c>
      <c r="D243" s="825"/>
      <c r="E243" s="417" t="s">
        <v>1550</v>
      </c>
      <c r="F243" s="417" t="s">
        <v>1551</v>
      </c>
      <c r="G243" s="417" t="s">
        <v>1552</v>
      </c>
      <c r="H243" s="417" t="s">
        <v>1553</v>
      </c>
      <c r="I243" s="417" t="s">
        <v>1554</v>
      </c>
      <c r="J243" s="417" t="s">
        <v>1555</v>
      </c>
      <c r="K243" s="417" t="s">
        <v>1556</v>
      </c>
      <c r="L243" s="821"/>
      <c r="M243" s="822"/>
      <c r="N243" s="144"/>
    </row>
    <row r="244" spans="3:14" ht="30" hidden="1" customHeight="1">
      <c r="C244" s="826"/>
      <c r="D244" s="827"/>
      <c r="E244" s="411"/>
      <c r="F244" s="411"/>
      <c r="G244" s="411"/>
      <c r="H244" s="411"/>
      <c r="I244" s="411"/>
      <c r="J244" s="411"/>
      <c r="K244" s="411"/>
      <c r="L244" s="823"/>
      <c r="M244" s="824"/>
      <c r="N244" s="144"/>
    </row>
    <row r="245" spans="3:14" ht="15" hidden="1" customHeight="1">
      <c r="C245" s="804" t="s">
        <v>1490</v>
      </c>
      <c r="D245" s="812"/>
      <c r="E245" s="399" t="s">
        <v>1484</v>
      </c>
      <c r="F245" s="632"/>
      <c r="G245" s="633"/>
      <c r="H245" s="633"/>
      <c r="I245" s="633"/>
      <c r="J245" s="633"/>
      <c r="K245" s="633"/>
      <c r="L245" s="633"/>
      <c r="M245" s="724"/>
      <c r="N245" s="144"/>
    </row>
    <row r="246" spans="3:14" hidden="1">
      <c r="C246" s="813"/>
      <c r="D246" s="814"/>
      <c r="E246" s="320" t="s">
        <v>1492</v>
      </c>
      <c r="F246" s="632"/>
      <c r="G246" s="633"/>
      <c r="H246" s="633"/>
      <c r="I246" s="633"/>
      <c r="J246" s="633"/>
      <c r="K246" s="633"/>
      <c r="L246" s="633"/>
      <c r="M246" s="724"/>
      <c r="N246" s="144"/>
    </row>
    <row r="247" spans="3:14" hidden="1">
      <c r="C247" s="815"/>
      <c r="D247" s="816"/>
      <c r="E247" s="400" t="s">
        <v>1485</v>
      </c>
      <c r="F247" s="632"/>
      <c r="G247" s="633"/>
      <c r="H247" s="633"/>
      <c r="I247" s="633"/>
      <c r="J247" s="633"/>
      <c r="K247" s="633"/>
      <c r="L247" s="633"/>
      <c r="M247" s="724"/>
      <c r="N247" s="144"/>
    </row>
    <row r="248" spans="3:14" hidden="1">
      <c r="C248" s="804" t="s">
        <v>1491</v>
      </c>
      <c r="D248" s="817"/>
      <c r="E248" s="360" t="s">
        <v>1486</v>
      </c>
      <c r="F248" s="632"/>
      <c r="G248" s="633"/>
      <c r="H248" s="633"/>
      <c r="I248" s="633"/>
      <c r="J248" s="633"/>
      <c r="K248" s="633"/>
      <c r="L248" s="633"/>
      <c r="M248" s="724"/>
      <c r="N248" s="144"/>
    </row>
    <row r="249" spans="3:14" hidden="1">
      <c r="C249" s="813"/>
      <c r="D249" s="818"/>
      <c r="E249" s="360" t="s">
        <v>1487</v>
      </c>
      <c r="F249" s="632"/>
      <c r="G249" s="633"/>
      <c r="H249" s="633"/>
      <c r="I249" s="633"/>
      <c r="J249" s="633"/>
      <c r="K249" s="633"/>
      <c r="L249" s="633"/>
      <c r="M249" s="724"/>
      <c r="N249" s="144"/>
    </row>
    <row r="250" spans="3:14" hidden="1">
      <c r="C250" s="813"/>
      <c r="D250" s="818"/>
      <c r="E250" s="360" t="s">
        <v>1488</v>
      </c>
      <c r="F250" s="632"/>
      <c r="G250" s="633"/>
      <c r="H250" s="633"/>
      <c r="I250" s="633"/>
      <c r="J250" s="633"/>
      <c r="K250" s="633"/>
      <c r="L250" s="633"/>
      <c r="M250" s="724"/>
      <c r="N250" s="144"/>
    </row>
    <row r="251" spans="3:14" hidden="1">
      <c r="C251" s="815"/>
      <c r="D251" s="819"/>
      <c r="E251" s="360" t="s">
        <v>1489</v>
      </c>
      <c r="F251" s="632"/>
      <c r="G251" s="633"/>
      <c r="H251" s="633"/>
      <c r="I251" s="633"/>
      <c r="J251" s="633"/>
      <c r="K251" s="633"/>
      <c r="L251" s="633"/>
      <c r="M251" s="724"/>
      <c r="N251" s="144"/>
    </row>
    <row r="252" spans="3:14" ht="45" hidden="1" customHeight="1">
      <c r="C252" s="654" t="str">
        <f>IF($E242="No","Results of the consultation of airspace users' representatives", "Benefits for airspace users and results of the consultation of airspace users' representatives")</f>
        <v>Benefits for airspace users and results of the consultation of airspace users' representatives</v>
      </c>
      <c r="D252" s="655"/>
      <c r="E252" s="820"/>
      <c r="F252" s="809"/>
      <c r="G252" s="809"/>
      <c r="H252" s="809"/>
      <c r="I252" s="809"/>
      <c r="J252" s="809"/>
      <c r="K252" s="809"/>
      <c r="L252" s="809"/>
      <c r="M252" s="809"/>
      <c r="N252" s="144"/>
    </row>
    <row r="253" spans="3:14" hidden="1">
      <c r="C253" s="654" t="s">
        <v>996</v>
      </c>
      <c r="D253" s="655"/>
      <c r="E253" s="189" t="s">
        <v>240</v>
      </c>
      <c r="F253" s="806"/>
      <c r="G253" s="807"/>
      <c r="H253" s="807"/>
      <c r="I253" s="807"/>
      <c r="J253" s="807"/>
      <c r="K253" s="807"/>
      <c r="L253" s="807"/>
      <c r="M253" s="807"/>
      <c r="N253" s="144"/>
    </row>
    <row r="254" spans="3:14" hidden="1">
      <c r="C254" s="654" t="s">
        <v>326</v>
      </c>
      <c r="D254" s="655"/>
      <c r="E254" s="189" t="s">
        <v>240</v>
      </c>
      <c r="F254" s="806"/>
      <c r="G254" s="807"/>
      <c r="H254" s="807"/>
      <c r="I254" s="807"/>
      <c r="J254" s="807"/>
      <c r="K254" s="807"/>
      <c r="L254" s="807"/>
      <c r="M254" s="807"/>
      <c r="N254" s="144"/>
    </row>
    <row r="255" spans="3:14" ht="15" hidden="1" customHeight="1">
      <c r="C255" s="804" t="s">
        <v>997</v>
      </c>
      <c r="D255" s="805"/>
      <c r="E255" s="189" t="s">
        <v>240</v>
      </c>
      <c r="F255" s="806"/>
      <c r="G255" s="807"/>
      <c r="H255" s="807"/>
      <c r="I255" s="807"/>
      <c r="J255" s="807"/>
      <c r="K255" s="807"/>
      <c r="L255" s="807"/>
      <c r="M255" s="807"/>
      <c r="N255" s="144"/>
    </row>
    <row r="256" spans="3:14" ht="30" hidden="1" customHeight="1">
      <c r="C256" s="804" t="s">
        <v>327</v>
      </c>
      <c r="D256" s="805"/>
      <c r="E256" s="189" t="s">
        <v>240</v>
      </c>
      <c r="F256" s="806"/>
      <c r="G256" s="807"/>
      <c r="H256" s="807"/>
      <c r="I256" s="807"/>
      <c r="J256" s="807"/>
      <c r="K256" s="807"/>
      <c r="L256" s="807"/>
      <c r="M256" s="807"/>
      <c r="N256" s="144"/>
    </row>
    <row r="257" spans="1:14" ht="9" hidden="1" customHeight="1">
      <c r="C257" s="132"/>
      <c r="D257" s="132"/>
      <c r="E257" s="132"/>
      <c r="F257" s="132"/>
      <c r="G257" s="132"/>
      <c r="H257" s="132"/>
      <c r="I257" s="132"/>
      <c r="J257" s="132"/>
      <c r="K257" s="132"/>
      <c r="L257" s="132"/>
      <c r="M257" s="132"/>
    </row>
    <row r="258" spans="1:14" hidden="1"/>
    <row r="259" spans="1:14" hidden="1">
      <c r="A259" s="6" t="s">
        <v>693</v>
      </c>
      <c r="C259" s="798" t="s">
        <v>653</v>
      </c>
      <c r="D259" s="799"/>
      <c r="E259" s="800" t="str">
        <f>IF(C20="","",C20)</f>
        <v/>
      </c>
      <c r="F259" s="801"/>
      <c r="G259" s="801"/>
      <c r="H259" s="801"/>
      <c r="I259" s="801"/>
      <c r="J259" s="654" t="s">
        <v>322</v>
      </c>
      <c r="K259" s="655"/>
      <c r="L259" s="802">
        <f>D20</f>
        <v>0</v>
      </c>
      <c r="M259" s="803"/>
      <c r="N259" s="144"/>
    </row>
    <row r="260" spans="1:14" ht="45" hidden="1" customHeight="1">
      <c r="C260" s="654" t="s">
        <v>995</v>
      </c>
      <c r="D260" s="655"/>
      <c r="E260" s="808"/>
      <c r="F260" s="809"/>
      <c r="G260" s="809"/>
      <c r="H260" s="809"/>
      <c r="I260" s="809"/>
      <c r="J260" s="809"/>
      <c r="K260" s="809"/>
      <c r="L260" s="809"/>
      <c r="M260" s="809"/>
      <c r="N260" s="144"/>
    </row>
    <row r="261" spans="1:14" ht="60" hidden="1" customHeight="1">
      <c r="C261" s="810" t="str">
        <f>"The investment is mandated by a SES Regulation (i.e. PCP/CP1/Interoperability)?" &amp; IF($E261="yes"," Ref. to the Regulation and, if funded through Union assistance programmes, ref. to the relevant grant agreement.)","")</f>
        <v>The investment is mandated by a SES Regulation (i.e. PCP/CP1/Interoperability)?</v>
      </c>
      <c r="D261" s="811"/>
      <c r="E261" s="398" t="s">
        <v>240</v>
      </c>
      <c r="F261" s="632"/>
      <c r="G261" s="633"/>
      <c r="H261" s="633"/>
      <c r="I261" s="633"/>
      <c r="J261" s="633"/>
      <c r="K261" s="633"/>
      <c r="L261" s="633"/>
      <c r="M261" s="724"/>
      <c r="N261" s="144"/>
    </row>
    <row r="262" spans="1:14" ht="15" hidden="1" customHeight="1">
      <c r="C262" s="654" t="s">
        <v>1725</v>
      </c>
      <c r="D262" s="825"/>
      <c r="E262" s="417" t="s">
        <v>1550</v>
      </c>
      <c r="F262" s="417" t="s">
        <v>1551</v>
      </c>
      <c r="G262" s="417" t="s">
        <v>1552</v>
      </c>
      <c r="H262" s="417" t="s">
        <v>1553</v>
      </c>
      <c r="I262" s="417" t="s">
        <v>1554</v>
      </c>
      <c r="J262" s="417" t="s">
        <v>1555</v>
      </c>
      <c r="K262" s="417" t="s">
        <v>1556</v>
      </c>
      <c r="L262" s="821"/>
      <c r="M262" s="822"/>
      <c r="N262" s="144"/>
    </row>
    <row r="263" spans="1:14" ht="30" hidden="1" customHeight="1">
      <c r="C263" s="826"/>
      <c r="D263" s="827"/>
      <c r="E263" s="411"/>
      <c r="F263" s="411"/>
      <c r="G263" s="411"/>
      <c r="H263" s="411"/>
      <c r="I263" s="411"/>
      <c r="J263" s="411"/>
      <c r="K263" s="411"/>
      <c r="L263" s="823"/>
      <c r="M263" s="824"/>
      <c r="N263" s="144"/>
    </row>
    <row r="264" spans="1:14" ht="15" hidden="1" customHeight="1">
      <c r="C264" s="804" t="s">
        <v>1490</v>
      </c>
      <c r="D264" s="812"/>
      <c r="E264" s="399" t="s">
        <v>1484</v>
      </c>
      <c r="F264" s="632"/>
      <c r="G264" s="633"/>
      <c r="H264" s="633"/>
      <c r="I264" s="633"/>
      <c r="J264" s="633"/>
      <c r="K264" s="633"/>
      <c r="L264" s="633"/>
      <c r="M264" s="724"/>
      <c r="N264" s="144"/>
    </row>
    <row r="265" spans="1:14" hidden="1">
      <c r="C265" s="813"/>
      <c r="D265" s="814"/>
      <c r="E265" s="320" t="s">
        <v>1492</v>
      </c>
      <c r="F265" s="632"/>
      <c r="G265" s="633"/>
      <c r="H265" s="633"/>
      <c r="I265" s="633"/>
      <c r="J265" s="633"/>
      <c r="K265" s="633"/>
      <c r="L265" s="633"/>
      <c r="M265" s="724"/>
      <c r="N265" s="144"/>
    </row>
    <row r="266" spans="1:14" hidden="1">
      <c r="C266" s="815"/>
      <c r="D266" s="816"/>
      <c r="E266" s="400" t="s">
        <v>1485</v>
      </c>
      <c r="F266" s="632"/>
      <c r="G266" s="633"/>
      <c r="H266" s="633"/>
      <c r="I266" s="633"/>
      <c r="J266" s="633"/>
      <c r="K266" s="633"/>
      <c r="L266" s="633"/>
      <c r="M266" s="724"/>
      <c r="N266" s="144"/>
    </row>
    <row r="267" spans="1:14" hidden="1">
      <c r="C267" s="804" t="s">
        <v>1491</v>
      </c>
      <c r="D267" s="817"/>
      <c r="E267" s="360" t="s">
        <v>1486</v>
      </c>
      <c r="F267" s="632"/>
      <c r="G267" s="633"/>
      <c r="H267" s="633"/>
      <c r="I267" s="633"/>
      <c r="J267" s="633"/>
      <c r="K267" s="633"/>
      <c r="L267" s="633"/>
      <c r="M267" s="724"/>
      <c r="N267" s="144"/>
    </row>
    <row r="268" spans="1:14" hidden="1">
      <c r="C268" s="813"/>
      <c r="D268" s="818"/>
      <c r="E268" s="360" t="s">
        <v>1487</v>
      </c>
      <c r="F268" s="632"/>
      <c r="G268" s="633"/>
      <c r="H268" s="633"/>
      <c r="I268" s="633"/>
      <c r="J268" s="633"/>
      <c r="K268" s="633"/>
      <c r="L268" s="633"/>
      <c r="M268" s="724"/>
      <c r="N268" s="144"/>
    </row>
    <row r="269" spans="1:14" hidden="1">
      <c r="C269" s="813"/>
      <c r="D269" s="818"/>
      <c r="E269" s="360" t="s">
        <v>1488</v>
      </c>
      <c r="F269" s="632"/>
      <c r="G269" s="633"/>
      <c r="H269" s="633"/>
      <c r="I269" s="633"/>
      <c r="J269" s="633"/>
      <c r="K269" s="633"/>
      <c r="L269" s="633"/>
      <c r="M269" s="724"/>
      <c r="N269" s="144"/>
    </row>
    <row r="270" spans="1:14" hidden="1">
      <c r="C270" s="815"/>
      <c r="D270" s="819"/>
      <c r="E270" s="360" t="s">
        <v>1489</v>
      </c>
      <c r="F270" s="632"/>
      <c r="G270" s="633"/>
      <c r="H270" s="633"/>
      <c r="I270" s="633"/>
      <c r="J270" s="633"/>
      <c r="K270" s="633"/>
      <c r="L270" s="633"/>
      <c r="M270" s="724"/>
      <c r="N270" s="144"/>
    </row>
    <row r="271" spans="1:14" ht="45" hidden="1" customHeight="1">
      <c r="C271" s="654" t="str">
        <f>IF($E261="No","Results of the consultation of airspace users' representatives", "Benefits for airspace users and results of the consultation of airspace users' representatives")</f>
        <v>Benefits for airspace users and results of the consultation of airspace users' representatives</v>
      </c>
      <c r="D271" s="655"/>
      <c r="E271" s="820"/>
      <c r="F271" s="809"/>
      <c r="G271" s="809"/>
      <c r="H271" s="809"/>
      <c r="I271" s="809"/>
      <c r="J271" s="809"/>
      <c r="K271" s="809"/>
      <c r="L271" s="809"/>
      <c r="M271" s="809"/>
      <c r="N271" s="144"/>
    </row>
    <row r="272" spans="1:14" hidden="1">
      <c r="C272" s="654" t="s">
        <v>996</v>
      </c>
      <c r="D272" s="655"/>
      <c r="E272" s="189" t="s">
        <v>240</v>
      </c>
      <c r="F272" s="806"/>
      <c r="G272" s="807"/>
      <c r="H272" s="807"/>
      <c r="I272" s="807"/>
      <c r="J272" s="807"/>
      <c r="K272" s="807"/>
      <c r="L272" s="807"/>
      <c r="M272" s="807"/>
      <c r="N272" s="144"/>
    </row>
    <row r="273" spans="1:14" hidden="1">
      <c r="C273" s="654" t="s">
        <v>326</v>
      </c>
      <c r="D273" s="655"/>
      <c r="E273" s="189" t="s">
        <v>240</v>
      </c>
      <c r="F273" s="806"/>
      <c r="G273" s="807"/>
      <c r="H273" s="807"/>
      <c r="I273" s="807"/>
      <c r="J273" s="807"/>
      <c r="K273" s="807"/>
      <c r="L273" s="807"/>
      <c r="M273" s="807"/>
      <c r="N273" s="144"/>
    </row>
    <row r="274" spans="1:14" ht="15" hidden="1" customHeight="1">
      <c r="C274" s="804" t="s">
        <v>997</v>
      </c>
      <c r="D274" s="805"/>
      <c r="E274" s="189" t="s">
        <v>240</v>
      </c>
      <c r="F274" s="806"/>
      <c r="G274" s="807"/>
      <c r="H274" s="807"/>
      <c r="I274" s="807"/>
      <c r="J274" s="807"/>
      <c r="K274" s="807"/>
      <c r="L274" s="807"/>
      <c r="M274" s="807"/>
      <c r="N274" s="144"/>
    </row>
    <row r="275" spans="1:14" ht="30" hidden="1" customHeight="1">
      <c r="C275" s="804" t="s">
        <v>327</v>
      </c>
      <c r="D275" s="805"/>
      <c r="E275" s="189" t="s">
        <v>240</v>
      </c>
      <c r="F275" s="806"/>
      <c r="G275" s="807"/>
      <c r="H275" s="807"/>
      <c r="I275" s="807"/>
      <c r="J275" s="807"/>
      <c r="K275" s="807"/>
      <c r="L275" s="807"/>
      <c r="M275" s="807"/>
      <c r="N275" s="144"/>
    </row>
    <row r="276" spans="1:14" ht="9" hidden="1" customHeight="1">
      <c r="C276" s="132"/>
      <c r="D276" s="132"/>
      <c r="E276" s="132"/>
      <c r="F276" s="132"/>
      <c r="G276" s="132"/>
      <c r="H276" s="132"/>
      <c r="I276" s="132"/>
      <c r="J276" s="132"/>
      <c r="K276" s="132"/>
      <c r="L276" s="132"/>
      <c r="M276" s="132"/>
    </row>
    <row r="277" spans="1:14" hidden="1"/>
    <row r="278" spans="1:14" hidden="1">
      <c r="A278" s="6" t="s">
        <v>693</v>
      </c>
      <c r="C278" s="798" t="s">
        <v>654</v>
      </c>
      <c r="D278" s="799"/>
      <c r="E278" s="800" t="str">
        <f>IF(C21="","",C21)</f>
        <v/>
      </c>
      <c r="F278" s="801"/>
      <c r="G278" s="801"/>
      <c r="H278" s="801"/>
      <c r="I278" s="801"/>
      <c r="J278" s="654" t="s">
        <v>322</v>
      </c>
      <c r="K278" s="655"/>
      <c r="L278" s="802">
        <f>D21</f>
        <v>0</v>
      </c>
      <c r="M278" s="803"/>
      <c r="N278" s="144"/>
    </row>
    <row r="279" spans="1:14" ht="45" hidden="1" customHeight="1">
      <c r="C279" s="654" t="s">
        <v>995</v>
      </c>
      <c r="D279" s="655"/>
      <c r="E279" s="808"/>
      <c r="F279" s="809"/>
      <c r="G279" s="809"/>
      <c r="H279" s="809"/>
      <c r="I279" s="809"/>
      <c r="J279" s="809"/>
      <c r="K279" s="809"/>
      <c r="L279" s="809"/>
      <c r="M279" s="809"/>
      <c r="N279" s="144"/>
    </row>
    <row r="280" spans="1:14" ht="60" hidden="1" customHeight="1">
      <c r="C280" s="810" t="str">
        <f>"The investment is mandated by a SES Regulation (i.e. PCP/CP1/Interoperability)?" &amp; IF($E280="yes"," Ref. to the Regulation and, if funded through Union assistance programmes, ref. to the relevant grant agreement.)","")</f>
        <v>The investment is mandated by a SES Regulation (i.e. PCP/CP1/Interoperability)?</v>
      </c>
      <c r="D280" s="811"/>
      <c r="E280" s="398" t="s">
        <v>240</v>
      </c>
      <c r="F280" s="632"/>
      <c r="G280" s="633"/>
      <c r="H280" s="633"/>
      <c r="I280" s="633"/>
      <c r="J280" s="633"/>
      <c r="K280" s="633"/>
      <c r="L280" s="633"/>
      <c r="M280" s="724"/>
      <c r="N280" s="144"/>
    </row>
    <row r="281" spans="1:14" ht="15" hidden="1" customHeight="1">
      <c r="C281" s="654" t="s">
        <v>1725</v>
      </c>
      <c r="D281" s="825"/>
      <c r="E281" s="417" t="s">
        <v>1550</v>
      </c>
      <c r="F281" s="417" t="s">
        <v>1551</v>
      </c>
      <c r="G281" s="417" t="s">
        <v>1552</v>
      </c>
      <c r="H281" s="417" t="s">
        <v>1553</v>
      </c>
      <c r="I281" s="417" t="s">
        <v>1554</v>
      </c>
      <c r="J281" s="417" t="s">
        <v>1555</v>
      </c>
      <c r="K281" s="417" t="s">
        <v>1556</v>
      </c>
      <c r="L281" s="821"/>
      <c r="M281" s="822"/>
      <c r="N281" s="144"/>
    </row>
    <row r="282" spans="1:14" ht="30" hidden="1" customHeight="1">
      <c r="C282" s="826"/>
      <c r="D282" s="827"/>
      <c r="E282" s="411"/>
      <c r="F282" s="411"/>
      <c r="G282" s="411"/>
      <c r="H282" s="411"/>
      <c r="I282" s="411"/>
      <c r="J282" s="411"/>
      <c r="K282" s="411"/>
      <c r="L282" s="823"/>
      <c r="M282" s="824"/>
      <c r="N282" s="144"/>
    </row>
    <row r="283" spans="1:14" ht="15" hidden="1" customHeight="1">
      <c r="C283" s="804" t="s">
        <v>1490</v>
      </c>
      <c r="D283" s="812"/>
      <c r="E283" s="399" t="s">
        <v>1484</v>
      </c>
      <c r="F283" s="632"/>
      <c r="G283" s="633"/>
      <c r="H283" s="633"/>
      <c r="I283" s="633"/>
      <c r="J283" s="633"/>
      <c r="K283" s="633"/>
      <c r="L283" s="633"/>
      <c r="M283" s="724"/>
      <c r="N283" s="144"/>
    </row>
    <row r="284" spans="1:14" hidden="1">
      <c r="C284" s="813"/>
      <c r="D284" s="814"/>
      <c r="E284" s="320" t="s">
        <v>1492</v>
      </c>
      <c r="F284" s="632"/>
      <c r="G284" s="633"/>
      <c r="H284" s="633"/>
      <c r="I284" s="633"/>
      <c r="J284" s="633"/>
      <c r="K284" s="633"/>
      <c r="L284" s="633"/>
      <c r="M284" s="724"/>
      <c r="N284" s="144"/>
    </row>
    <row r="285" spans="1:14" hidden="1">
      <c r="C285" s="815"/>
      <c r="D285" s="816"/>
      <c r="E285" s="400" t="s">
        <v>1485</v>
      </c>
      <c r="F285" s="632"/>
      <c r="G285" s="633"/>
      <c r="H285" s="633"/>
      <c r="I285" s="633"/>
      <c r="J285" s="633"/>
      <c r="K285" s="633"/>
      <c r="L285" s="633"/>
      <c r="M285" s="724"/>
      <c r="N285" s="144"/>
    </row>
    <row r="286" spans="1:14" hidden="1">
      <c r="C286" s="804" t="s">
        <v>1491</v>
      </c>
      <c r="D286" s="817"/>
      <c r="E286" s="360" t="s">
        <v>1486</v>
      </c>
      <c r="F286" s="632"/>
      <c r="G286" s="633"/>
      <c r="H286" s="633"/>
      <c r="I286" s="633"/>
      <c r="J286" s="633"/>
      <c r="K286" s="633"/>
      <c r="L286" s="633"/>
      <c r="M286" s="724"/>
      <c r="N286" s="144"/>
    </row>
    <row r="287" spans="1:14" hidden="1">
      <c r="C287" s="813"/>
      <c r="D287" s="818"/>
      <c r="E287" s="360" t="s">
        <v>1487</v>
      </c>
      <c r="F287" s="632"/>
      <c r="G287" s="633"/>
      <c r="H287" s="633"/>
      <c r="I287" s="633"/>
      <c r="J287" s="633"/>
      <c r="K287" s="633"/>
      <c r="L287" s="633"/>
      <c r="M287" s="724"/>
      <c r="N287" s="144"/>
    </row>
    <row r="288" spans="1:14" hidden="1">
      <c r="C288" s="813"/>
      <c r="D288" s="818"/>
      <c r="E288" s="360" t="s">
        <v>1488</v>
      </c>
      <c r="F288" s="632"/>
      <c r="G288" s="633"/>
      <c r="H288" s="633"/>
      <c r="I288" s="633"/>
      <c r="J288" s="633"/>
      <c r="K288" s="633"/>
      <c r="L288" s="633"/>
      <c r="M288" s="724"/>
      <c r="N288" s="144"/>
    </row>
    <row r="289" spans="1:14" hidden="1">
      <c r="C289" s="815"/>
      <c r="D289" s="819"/>
      <c r="E289" s="360" t="s">
        <v>1489</v>
      </c>
      <c r="F289" s="632"/>
      <c r="G289" s="633"/>
      <c r="H289" s="633"/>
      <c r="I289" s="633"/>
      <c r="J289" s="633"/>
      <c r="K289" s="633"/>
      <c r="L289" s="633"/>
      <c r="M289" s="724"/>
      <c r="N289" s="144"/>
    </row>
    <row r="290" spans="1:14" ht="45" hidden="1" customHeight="1">
      <c r="C290" s="654" t="str">
        <f>IF($E280="No","Results of the consultation of airspace users' representatives", "Benefits for airspace users and results of the consultation of airspace users' representatives")</f>
        <v>Benefits for airspace users and results of the consultation of airspace users' representatives</v>
      </c>
      <c r="D290" s="655"/>
      <c r="E290" s="820"/>
      <c r="F290" s="809"/>
      <c r="G290" s="809"/>
      <c r="H290" s="809"/>
      <c r="I290" s="809"/>
      <c r="J290" s="809"/>
      <c r="K290" s="809"/>
      <c r="L290" s="809"/>
      <c r="M290" s="809"/>
      <c r="N290" s="144"/>
    </row>
    <row r="291" spans="1:14" hidden="1">
      <c r="C291" s="654" t="s">
        <v>996</v>
      </c>
      <c r="D291" s="655"/>
      <c r="E291" s="189" t="s">
        <v>240</v>
      </c>
      <c r="F291" s="806"/>
      <c r="G291" s="807"/>
      <c r="H291" s="807"/>
      <c r="I291" s="807"/>
      <c r="J291" s="807"/>
      <c r="K291" s="807"/>
      <c r="L291" s="807"/>
      <c r="M291" s="807"/>
      <c r="N291" s="144"/>
    </row>
    <row r="292" spans="1:14" hidden="1">
      <c r="C292" s="654" t="s">
        <v>326</v>
      </c>
      <c r="D292" s="655"/>
      <c r="E292" s="189" t="s">
        <v>240</v>
      </c>
      <c r="F292" s="806"/>
      <c r="G292" s="807"/>
      <c r="H292" s="807"/>
      <c r="I292" s="807"/>
      <c r="J292" s="807"/>
      <c r="K292" s="807"/>
      <c r="L292" s="807"/>
      <c r="M292" s="807"/>
      <c r="N292" s="144"/>
    </row>
    <row r="293" spans="1:14" ht="15" hidden="1" customHeight="1">
      <c r="C293" s="804" t="s">
        <v>997</v>
      </c>
      <c r="D293" s="805"/>
      <c r="E293" s="189" t="s">
        <v>240</v>
      </c>
      <c r="F293" s="806"/>
      <c r="G293" s="807"/>
      <c r="H293" s="807"/>
      <c r="I293" s="807"/>
      <c r="J293" s="807"/>
      <c r="K293" s="807"/>
      <c r="L293" s="807"/>
      <c r="M293" s="807"/>
      <c r="N293" s="144"/>
    </row>
    <row r="294" spans="1:14" ht="30" hidden="1" customHeight="1">
      <c r="C294" s="804" t="s">
        <v>327</v>
      </c>
      <c r="D294" s="805"/>
      <c r="E294" s="189" t="s">
        <v>240</v>
      </c>
      <c r="F294" s="806"/>
      <c r="G294" s="807"/>
      <c r="H294" s="807"/>
      <c r="I294" s="807"/>
      <c r="J294" s="807"/>
      <c r="K294" s="807"/>
      <c r="L294" s="807"/>
      <c r="M294" s="807"/>
      <c r="N294" s="144"/>
    </row>
    <row r="295" spans="1:14" ht="9" hidden="1" customHeight="1">
      <c r="C295" s="132"/>
      <c r="D295" s="132"/>
      <c r="E295" s="132"/>
      <c r="F295" s="132"/>
      <c r="G295" s="132"/>
      <c r="H295" s="132"/>
      <c r="I295" s="132"/>
      <c r="J295" s="132"/>
      <c r="K295" s="132"/>
      <c r="L295" s="132"/>
      <c r="M295" s="132"/>
    </row>
    <row r="296" spans="1:14" hidden="1"/>
    <row r="297" spans="1:14" hidden="1">
      <c r="A297" s="6" t="s">
        <v>693</v>
      </c>
      <c r="C297" s="798" t="s">
        <v>655</v>
      </c>
      <c r="D297" s="799"/>
      <c r="E297" s="800" t="str">
        <f>IF(C22="","",C22)</f>
        <v/>
      </c>
      <c r="F297" s="801"/>
      <c r="G297" s="801"/>
      <c r="H297" s="801"/>
      <c r="I297" s="801"/>
      <c r="J297" s="654" t="s">
        <v>322</v>
      </c>
      <c r="K297" s="655"/>
      <c r="L297" s="802">
        <f>D22</f>
        <v>0</v>
      </c>
      <c r="M297" s="803"/>
      <c r="N297" s="144"/>
    </row>
    <row r="298" spans="1:14" ht="45" hidden="1" customHeight="1">
      <c r="C298" s="654" t="s">
        <v>995</v>
      </c>
      <c r="D298" s="655"/>
      <c r="E298" s="808"/>
      <c r="F298" s="809"/>
      <c r="G298" s="809"/>
      <c r="H298" s="809"/>
      <c r="I298" s="809"/>
      <c r="J298" s="809"/>
      <c r="K298" s="809"/>
      <c r="L298" s="809"/>
      <c r="M298" s="809"/>
      <c r="N298" s="144"/>
    </row>
    <row r="299" spans="1:14" ht="60" hidden="1" customHeight="1">
      <c r="C299" s="810" t="str">
        <f>"The investment is mandated by a SES Regulation (i.e. PCP/CP1/Interoperability)?" &amp; IF($E299="yes"," Ref. to the Regulation and, if funded through Union assistance programmes, ref. to the relevant grant agreement.)","")</f>
        <v>The investment is mandated by a SES Regulation (i.e. PCP/CP1/Interoperability)?</v>
      </c>
      <c r="D299" s="811"/>
      <c r="E299" s="398" t="s">
        <v>240</v>
      </c>
      <c r="F299" s="632"/>
      <c r="G299" s="633"/>
      <c r="H299" s="633"/>
      <c r="I299" s="633"/>
      <c r="J299" s="633"/>
      <c r="K299" s="633"/>
      <c r="L299" s="633"/>
      <c r="M299" s="724"/>
      <c r="N299" s="144"/>
    </row>
    <row r="300" spans="1:14" ht="15" hidden="1" customHeight="1">
      <c r="C300" s="654" t="s">
        <v>1725</v>
      </c>
      <c r="D300" s="825"/>
      <c r="E300" s="417" t="s">
        <v>1550</v>
      </c>
      <c r="F300" s="417" t="s">
        <v>1551</v>
      </c>
      <c r="G300" s="417" t="s">
        <v>1552</v>
      </c>
      <c r="H300" s="417" t="s">
        <v>1553</v>
      </c>
      <c r="I300" s="417" t="s">
        <v>1554</v>
      </c>
      <c r="J300" s="417" t="s">
        <v>1555</v>
      </c>
      <c r="K300" s="417" t="s">
        <v>1556</v>
      </c>
      <c r="L300" s="821"/>
      <c r="M300" s="822"/>
      <c r="N300" s="144"/>
    </row>
    <row r="301" spans="1:14" ht="30" hidden="1" customHeight="1">
      <c r="C301" s="826"/>
      <c r="D301" s="827"/>
      <c r="E301" s="411"/>
      <c r="F301" s="411"/>
      <c r="G301" s="411"/>
      <c r="H301" s="411"/>
      <c r="I301" s="411"/>
      <c r="J301" s="411"/>
      <c r="K301" s="411"/>
      <c r="L301" s="823"/>
      <c r="M301" s="824"/>
      <c r="N301" s="144"/>
    </row>
    <row r="302" spans="1:14" ht="15" hidden="1" customHeight="1">
      <c r="C302" s="804" t="s">
        <v>1490</v>
      </c>
      <c r="D302" s="812"/>
      <c r="E302" s="399" t="s">
        <v>1484</v>
      </c>
      <c r="F302" s="632"/>
      <c r="G302" s="633"/>
      <c r="H302" s="633"/>
      <c r="I302" s="633"/>
      <c r="J302" s="633"/>
      <c r="K302" s="633"/>
      <c r="L302" s="633"/>
      <c r="M302" s="724"/>
      <c r="N302" s="144"/>
    </row>
    <row r="303" spans="1:14" hidden="1">
      <c r="C303" s="813"/>
      <c r="D303" s="814"/>
      <c r="E303" s="320" t="s">
        <v>1492</v>
      </c>
      <c r="F303" s="632"/>
      <c r="G303" s="633"/>
      <c r="H303" s="633"/>
      <c r="I303" s="633"/>
      <c r="J303" s="633"/>
      <c r="K303" s="633"/>
      <c r="L303" s="633"/>
      <c r="M303" s="724"/>
      <c r="N303" s="144"/>
    </row>
    <row r="304" spans="1:14" hidden="1">
      <c r="C304" s="815"/>
      <c r="D304" s="816"/>
      <c r="E304" s="400" t="s">
        <v>1485</v>
      </c>
      <c r="F304" s="632"/>
      <c r="G304" s="633"/>
      <c r="H304" s="633"/>
      <c r="I304" s="633"/>
      <c r="J304" s="633"/>
      <c r="K304" s="633"/>
      <c r="L304" s="633"/>
      <c r="M304" s="724"/>
      <c r="N304" s="144"/>
    </row>
    <row r="305" spans="1:14" hidden="1">
      <c r="C305" s="804" t="s">
        <v>1491</v>
      </c>
      <c r="D305" s="817"/>
      <c r="E305" s="360" t="s">
        <v>1486</v>
      </c>
      <c r="F305" s="632"/>
      <c r="G305" s="633"/>
      <c r="H305" s="633"/>
      <c r="I305" s="633"/>
      <c r="J305" s="633"/>
      <c r="K305" s="633"/>
      <c r="L305" s="633"/>
      <c r="M305" s="724"/>
      <c r="N305" s="144"/>
    </row>
    <row r="306" spans="1:14" hidden="1">
      <c r="C306" s="813"/>
      <c r="D306" s="818"/>
      <c r="E306" s="360" t="s">
        <v>1487</v>
      </c>
      <c r="F306" s="632"/>
      <c r="G306" s="633"/>
      <c r="H306" s="633"/>
      <c r="I306" s="633"/>
      <c r="J306" s="633"/>
      <c r="K306" s="633"/>
      <c r="L306" s="633"/>
      <c r="M306" s="724"/>
      <c r="N306" s="144"/>
    </row>
    <row r="307" spans="1:14" hidden="1">
      <c r="C307" s="813"/>
      <c r="D307" s="818"/>
      <c r="E307" s="360" t="s">
        <v>1488</v>
      </c>
      <c r="F307" s="632"/>
      <c r="G307" s="633"/>
      <c r="H307" s="633"/>
      <c r="I307" s="633"/>
      <c r="J307" s="633"/>
      <c r="K307" s="633"/>
      <c r="L307" s="633"/>
      <c r="M307" s="724"/>
      <c r="N307" s="144"/>
    </row>
    <row r="308" spans="1:14" hidden="1">
      <c r="C308" s="815"/>
      <c r="D308" s="819"/>
      <c r="E308" s="360" t="s">
        <v>1489</v>
      </c>
      <c r="F308" s="632"/>
      <c r="G308" s="633"/>
      <c r="H308" s="633"/>
      <c r="I308" s="633"/>
      <c r="J308" s="633"/>
      <c r="K308" s="633"/>
      <c r="L308" s="633"/>
      <c r="M308" s="724"/>
      <c r="N308" s="144"/>
    </row>
    <row r="309" spans="1:14" ht="45" hidden="1" customHeight="1">
      <c r="C309" s="654" t="str">
        <f>IF($E299="No","Results of the consultation of airspace users' representatives", "Benefits for airspace users and results of the consultation of airspace users' representatives")</f>
        <v>Benefits for airspace users and results of the consultation of airspace users' representatives</v>
      </c>
      <c r="D309" s="655"/>
      <c r="E309" s="820"/>
      <c r="F309" s="809"/>
      <c r="G309" s="809"/>
      <c r="H309" s="809"/>
      <c r="I309" s="809"/>
      <c r="J309" s="809"/>
      <c r="K309" s="809"/>
      <c r="L309" s="809"/>
      <c r="M309" s="809"/>
      <c r="N309" s="144"/>
    </row>
    <row r="310" spans="1:14" hidden="1">
      <c r="C310" s="654" t="s">
        <v>996</v>
      </c>
      <c r="D310" s="655"/>
      <c r="E310" s="189" t="s">
        <v>240</v>
      </c>
      <c r="F310" s="806"/>
      <c r="G310" s="807"/>
      <c r="H310" s="807"/>
      <c r="I310" s="807"/>
      <c r="J310" s="807"/>
      <c r="K310" s="807"/>
      <c r="L310" s="807"/>
      <c r="M310" s="807"/>
      <c r="N310" s="144"/>
    </row>
    <row r="311" spans="1:14" hidden="1">
      <c r="C311" s="654" t="s">
        <v>326</v>
      </c>
      <c r="D311" s="655"/>
      <c r="E311" s="189" t="s">
        <v>240</v>
      </c>
      <c r="F311" s="806"/>
      <c r="G311" s="807"/>
      <c r="H311" s="807"/>
      <c r="I311" s="807"/>
      <c r="J311" s="807"/>
      <c r="K311" s="807"/>
      <c r="L311" s="807"/>
      <c r="M311" s="807"/>
      <c r="N311" s="144"/>
    </row>
    <row r="312" spans="1:14" ht="15" hidden="1" customHeight="1">
      <c r="C312" s="804" t="s">
        <v>997</v>
      </c>
      <c r="D312" s="805"/>
      <c r="E312" s="189" t="s">
        <v>240</v>
      </c>
      <c r="F312" s="806"/>
      <c r="G312" s="807"/>
      <c r="H312" s="807"/>
      <c r="I312" s="807"/>
      <c r="J312" s="807"/>
      <c r="K312" s="807"/>
      <c r="L312" s="807"/>
      <c r="M312" s="807"/>
      <c r="N312" s="144"/>
    </row>
    <row r="313" spans="1:14" ht="30" hidden="1" customHeight="1">
      <c r="C313" s="804" t="s">
        <v>327</v>
      </c>
      <c r="D313" s="805"/>
      <c r="E313" s="189" t="s">
        <v>240</v>
      </c>
      <c r="F313" s="806"/>
      <c r="G313" s="807"/>
      <c r="H313" s="807"/>
      <c r="I313" s="807"/>
      <c r="J313" s="807"/>
      <c r="K313" s="807"/>
      <c r="L313" s="807"/>
      <c r="M313" s="807"/>
      <c r="N313" s="144"/>
    </row>
    <row r="314" spans="1:14" ht="9" hidden="1" customHeight="1">
      <c r="C314" s="132"/>
      <c r="D314" s="132"/>
      <c r="E314" s="132"/>
      <c r="F314" s="132"/>
      <c r="G314" s="132"/>
      <c r="H314" s="132"/>
      <c r="I314" s="132"/>
      <c r="J314" s="132"/>
      <c r="K314" s="132"/>
      <c r="L314" s="132"/>
      <c r="M314" s="132"/>
    </row>
    <row r="315" spans="1:14" hidden="1"/>
    <row r="316" spans="1:14" hidden="1">
      <c r="A316" s="6" t="s">
        <v>693</v>
      </c>
      <c r="C316" s="798" t="s">
        <v>656</v>
      </c>
      <c r="D316" s="799"/>
      <c r="E316" s="800" t="str">
        <f>IF(C23="","",C23)</f>
        <v/>
      </c>
      <c r="F316" s="801"/>
      <c r="G316" s="801"/>
      <c r="H316" s="801"/>
      <c r="I316" s="801"/>
      <c r="J316" s="654" t="s">
        <v>322</v>
      </c>
      <c r="K316" s="655"/>
      <c r="L316" s="802">
        <f>D23</f>
        <v>0</v>
      </c>
      <c r="M316" s="803"/>
      <c r="N316" s="144"/>
    </row>
    <row r="317" spans="1:14" ht="45" hidden="1" customHeight="1">
      <c r="C317" s="654" t="s">
        <v>995</v>
      </c>
      <c r="D317" s="655"/>
      <c r="E317" s="808"/>
      <c r="F317" s="809"/>
      <c r="G317" s="809"/>
      <c r="H317" s="809"/>
      <c r="I317" s="809"/>
      <c r="J317" s="809"/>
      <c r="K317" s="809"/>
      <c r="L317" s="809"/>
      <c r="M317" s="809"/>
      <c r="N317" s="144"/>
    </row>
    <row r="318" spans="1:14" ht="60" hidden="1" customHeight="1">
      <c r="C318" s="810" t="str">
        <f>"The investment is mandated by a SES Regulation (i.e. PCP/CP1/Interoperability)?" &amp; IF($E318="yes"," Ref. to the Regulation and, if funded through Union assistance programmes, ref. to the relevant grant agreement.)","")</f>
        <v>The investment is mandated by a SES Regulation (i.e. PCP/CP1/Interoperability)?</v>
      </c>
      <c r="D318" s="811"/>
      <c r="E318" s="398" t="s">
        <v>240</v>
      </c>
      <c r="F318" s="632"/>
      <c r="G318" s="633"/>
      <c r="H318" s="633"/>
      <c r="I318" s="633"/>
      <c r="J318" s="633"/>
      <c r="K318" s="633"/>
      <c r="L318" s="633"/>
      <c r="M318" s="724"/>
      <c r="N318" s="144"/>
    </row>
    <row r="319" spans="1:14" ht="15" hidden="1" customHeight="1">
      <c r="C319" s="654" t="s">
        <v>1725</v>
      </c>
      <c r="D319" s="825"/>
      <c r="E319" s="417" t="s">
        <v>1550</v>
      </c>
      <c r="F319" s="417" t="s">
        <v>1551</v>
      </c>
      <c r="G319" s="417" t="s">
        <v>1552</v>
      </c>
      <c r="H319" s="417" t="s">
        <v>1553</v>
      </c>
      <c r="I319" s="417" t="s">
        <v>1554</v>
      </c>
      <c r="J319" s="417" t="s">
        <v>1555</v>
      </c>
      <c r="K319" s="417" t="s">
        <v>1556</v>
      </c>
      <c r="L319" s="821"/>
      <c r="M319" s="822"/>
      <c r="N319" s="144"/>
    </row>
    <row r="320" spans="1:14" ht="30" hidden="1" customHeight="1">
      <c r="C320" s="826"/>
      <c r="D320" s="827"/>
      <c r="E320" s="411"/>
      <c r="F320" s="411"/>
      <c r="G320" s="411"/>
      <c r="H320" s="411"/>
      <c r="I320" s="411"/>
      <c r="J320" s="411"/>
      <c r="K320" s="411"/>
      <c r="L320" s="823"/>
      <c r="M320" s="824"/>
      <c r="N320" s="144"/>
    </row>
    <row r="321" spans="1:14" ht="15" hidden="1" customHeight="1">
      <c r="C321" s="804" t="s">
        <v>1490</v>
      </c>
      <c r="D321" s="812"/>
      <c r="E321" s="399" t="s">
        <v>1484</v>
      </c>
      <c r="F321" s="632"/>
      <c r="G321" s="633"/>
      <c r="H321" s="633"/>
      <c r="I321" s="633"/>
      <c r="J321" s="633"/>
      <c r="K321" s="633"/>
      <c r="L321" s="633"/>
      <c r="M321" s="724"/>
      <c r="N321" s="144"/>
    </row>
    <row r="322" spans="1:14" hidden="1">
      <c r="C322" s="813"/>
      <c r="D322" s="814"/>
      <c r="E322" s="320" t="s">
        <v>1492</v>
      </c>
      <c r="F322" s="632"/>
      <c r="G322" s="633"/>
      <c r="H322" s="633"/>
      <c r="I322" s="633"/>
      <c r="J322" s="633"/>
      <c r="K322" s="633"/>
      <c r="L322" s="633"/>
      <c r="M322" s="724"/>
      <c r="N322" s="144"/>
    </row>
    <row r="323" spans="1:14" hidden="1">
      <c r="C323" s="815"/>
      <c r="D323" s="816"/>
      <c r="E323" s="400" t="s">
        <v>1485</v>
      </c>
      <c r="F323" s="632"/>
      <c r="G323" s="633"/>
      <c r="H323" s="633"/>
      <c r="I323" s="633"/>
      <c r="J323" s="633"/>
      <c r="K323" s="633"/>
      <c r="L323" s="633"/>
      <c r="M323" s="724"/>
      <c r="N323" s="144"/>
    </row>
    <row r="324" spans="1:14" hidden="1">
      <c r="C324" s="804" t="s">
        <v>1491</v>
      </c>
      <c r="D324" s="817"/>
      <c r="E324" s="360" t="s">
        <v>1486</v>
      </c>
      <c r="F324" s="632"/>
      <c r="G324" s="633"/>
      <c r="H324" s="633"/>
      <c r="I324" s="633"/>
      <c r="J324" s="633"/>
      <c r="K324" s="633"/>
      <c r="L324" s="633"/>
      <c r="M324" s="724"/>
      <c r="N324" s="144"/>
    </row>
    <row r="325" spans="1:14" hidden="1">
      <c r="C325" s="813"/>
      <c r="D325" s="818"/>
      <c r="E325" s="360" t="s">
        <v>1487</v>
      </c>
      <c r="F325" s="632"/>
      <c r="G325" s="633"/>
      <c r="H325" s="633"/>
      <c r="I325" s="633"/>
      <c r="J325" s="633"/>
      <c r="K325" s="633"/>
      <c r="L325" s="633"/>
      <c r="M325" s="724"/>
      <c r="N325" s="144"/>
    </row>
    <row r="326" spans="1:14" hidden="1">
      <c r="C326" s="813"/>
      <c r="D326" s="818"/>
      <c r="E326" s="360" t="s">
        <v>1488</v>
      </c>
      <c r="F326" s="632"/>
      <c r="G326" s="633"/>
      <c r="H326" s="633"/>
      <c r="I326" s="633"/>
      <c r="J326" s="633"/>
      <c r="K326" s="633"/>
      <c r="L326" s="633"/>
      <c r="M326" s="724"/>
      <c r="N326" s="144"/>
    </row>
    <row r="327" spans="1:14" hidden="1">
      <c r="C327" s="815"/>
      <c r="D327" s="819"/>
      <c r="E327" s="360" t="s">
        <v>1489</v>
      </c>
      <c r="F327" s="632"/>
      <c r="G327" s="633"/>
      <c r="H327" s="633"/>
      <c r="I327" s="633"/>
      <c r="J327" s="633"/>
      <c r="K327" s="633"/>
      <c r="L327" s="633"/>
      <c r="M327" s="724"/>
      <c r="N327" s="144"/>
    </row>
    <row r="328" spans="1:14" ht="45" hidden="1" customHeight="1">
      <c r="C328" s="654" t="str">
        <f>IF($E318="No","Results of the consultation of airspace users' representatives", "Benefits for airspace users and results of the consultation of airspace users' representatives")</f>
        <v>Benefits for airspace users and results of the consultation of airspace users' representatives</v>
      </c>
      <c r="D328" s="655"/>
      <c r="E328" s="820"/>
      <c r="F328" s="809"/>
      <c r="G328" s="809"/>
      <c r="H328" s="809"/>
      <c r="I328" s="809"/>
      <c r="J328" s="809"/>
      <c r="K328" s="809"/>
      <c r="L328" s="809"/>
      <c r="M328" s="809"/>
      <c r="N328" s="144"/>
    </row>
    <row r="329" spans="1:14" hidden="1">
      <c r="C329" s="654" t="s">
        <v>996</v>
      </c>
      <c r="D329" s="655"/>
      <c r="E329" s="189" t="s">
        <v>240</v>
      </c>
      <c r="F329" s="806"/>
      <c r="G329" s="807"/>
      <c r="H329" s="807"/>
      <c r="I329" s="807"/>
      <c r="J329" s="807"/>
      <c r="K329" s="807"/>
      <c r="L329" s="807"/>
      <c r="M329" s="807"/>
      <c r="N329" s="144"/>
    </row>
    <row r="330" spans="1:14" hidden="1">
      <c r="C330" s="654" t="s">
        <v>326</v>
      </c>
      <c r="D330" s="655"/>
      <c r="E330" s="189" t="s">
        <v>240</v>
      </c>
      <c r="F330" s="806"/>
      <c r="G330" s="807"/>
      <c r="H330" s="807"/>
      <c r="I330" s="807"/>
      <c r="J330" s="807"/>
      <c r="K330" s="807"/>
      <c r="L330" s="807"/>
      <c r="M330" s="807"/>
      <c r="N330" s="144"/>
    </row>
    <row r="331" spans="1:14" ht="15" hidden="1" customHeight="1">
      <c r="C331" s="804" t="s">
        <v>997</v>
      </c>
      <c r="D331" s="805"/>
      <c r="E331" s="189" t="s">
        <v>240</v>
      </c>
      <c r="F331" s="806"/>
      <c r="G331" s="807"/>
      <c r="H331" s="807"/>
      <c r="I331" s="807"/>
      <c r="J331" s="807"/>
      <c r="K331" s="807"/>
      <c r="L331" s="807"/>
      <c r="M331" s="807"/>
      <c r="N331" s="144"/>
    </row>
    <row r="332" spans="1:14" ht="30" hidden="1" customHeight="1">
      <c r="C332" s="804" t="s">
        <v>327</v>
      </c>
      <c r="D332" s="805"/>
      <c r="E332" s="189" t="s">
        <v>240</v>
      </c>
      <c r="F332" s="806"/>
      <c r="G332" s="807"/>
      <c r="H332" s="807"/>
      <c r="I332" s="807"/>
      <c r="J332" s="807"/>
      <c r="K332" s="807"/>
      <c r="L332" s="807"/>
      <c r="M332" s="807"/>
      <c r="N332" s="144"/>
    </row>
    <row r="333" spans="1:14" ht="9" hidden="1" customHeight="1">
      <c r="C333" s="132"/>
      <c r="D333" s="132"/>
      <c r="E333" s="132"/>
      <c r="F333" s="132"/>
      <c r="G333" s="132"/>
      <c r="H333" s="132"/>
      <c r="I333" s="132"/>
      <c r="J333" s="132"/>
      <c r="K333" s="132"/>
      <c r="L333" s="132"/>
      <c r="M333" s="132"/>
    </row>
    <row r="334" spans="1:14" hidden="1"/>
    <row r="335" spans="1:14" hidden="1">
      <c r="A335" s="6" t="s">
        <v>693</v>
      </c>
      <c r="C335" s="798" t="s">
        <v>657</v>
      </c>
      <c r="D335" s="799"/>
      <c r="E335" s="800" t="str">
        <f>IF(C24="","",C24)</f>
        <v/>
      </c>
      <c r="F335" s="801"/>
      <c r="G335" s="801"/>
      <c r="H335" s="801"/>
      <c r="I335" s="801"/>
      <c r="J335" s="654" t="s">
        <v>322</v>
      </c>
      <c r="K335" s="655"/>
      <c r="L335" s="802">
        <f>D24</f>
        <v>0</v>
      </c>
      <c r="M335" s="803"/>
      <c r="N335" s="144"/>
    </row>
    <row r="336" spans="1:14" ht="45" hidden="1" customHeight="1">
      <c r="C336" s="654" t="s">
        <v>995</v>
      </c>
      <c r="D336" s="655"/>
      <c r="E336" s="808"/>
      <c r="F336" s="809"/>
      <c r="G336" s="809"/>
      <c r="H336" s="809"/>
      <c r="I336" s="809"/>
      <c r="J336" s="809"/>
      <c r="K336" s="809"/>
      <c r="L336" s="809"/>
      <c r="M336" s="809"/>
      <c r="N336" s="144"/>
    </row>
    <row r="337" spans="3:14" ht="60" hidden="1" customHeight="1">
      <c r="C337" s="810" t="str">
        <f>"The investment is mandated by a SES Regulation (i.e. PCP/CP1/Interoperability)?" &amp; IF($E337="yes"," Ref. to the Regulation and, if funded through Union assistance programmes, ref. to the relevant grant agreement.)","")</f>
        <v>The investment is mandated by a SES Regulation (i.e. PCP/CP1/Interoperability)?</v>
      </c>
      <c r="D337" s="811"/>
      <c r="E337" s="398" t="s">
        <v>240</v>
      </c>
      <c r="F337" s="632"/>
      <c r="G337" s="633"/>
      <c r="H337" s="633"/>
      <c r="I337" s="633"/>
      <c r="J337" s="633"/>
      <c r="K337" s="633"/>
      <c r="L337" s="633"/>
      <c r="M337" s="724"/>
      <c r="N337" s="144"/>
    </row>
    <row r="338" spans="3:14" ht="15" hidden="1" customHeight="1">
      <c r="C338" s="654" t="s">
        <v>1725</v>
      </c>
      <c r="D338" s="825"/>
      <c r="E338" s="417" t="s">
        <v>1550</v>
      </c>
      <c r="F338" s="417" t="s">
        <v>1551</v>
      </c>
      <c r="G338" s="417" t="s">
        <v>1552</v>
      </c>
      <c r="H338" s="417" t="s">
        <v>1553</v>
      </c>
      <c r="I338" s="417" t="s">
        <v>1554</v>
      </c>
      <c r="J338" s="417" t="s">
        <v>1555</v>
      </c>
      <c r="K338" s="417" t="s">
        <v>1556</v>
      </c>
      <c r="L338" s="821"/>
      <c r="M338" s="822"/>
      <c r="N338" s="144"/>
    </row>
    <row r="339" spans="3:14" ht="30" hidden="1" customHeight="1">
      <c r="C339" s="826"/>
      <c r="D339" s="827"/>
      <c r="E339" s="411"/>
      <c r="F339" s="411"/>
      <c r="G339" s="411"/>
      <c r="H339" s="411"/>
      <c r="I339" s="411"/>
      <c r="J339" s="411"/>
      <c r="K339" s="411"/>
      <c r="L339" s="823"/>
      <c r="M339" s="824"/>
      <c r="N339" s="144"/>
    </row>
    <row r="340" spans="3:14" ht="15" hidden="1" customHeight="1">
      <c r="C340" s="804" t="s">
        <v>1490</v>
      </c>
      <c r="D340" s="812"/>
      <c r="E340" s="399" t="s">
        <v>1484</v>
      </c>
      <c r="F340" s="632"/>
      <c r="G340" s="633"/>
      <c r="H340" s="633"/>
      <c r="I340" s="633"/>
      <c r="J340" s="633"/>
      <c r="K340" s="633"/>
      <c r="L340" s="633"/>
      <c r="M340" s="724"/>
      <c r="N340" s="144"/>
    </row>
    <row r="341" spans="3:14" hidden="1">
      <c r="C341" s="813"/>
      <c r="D341" s="814"/>
      <c r="E341" s="320" t="s">
        <v>1492</v>
      </c>
      <c r="F341" s="632"/>
      <c r="G341" s="633"/>
      <c r="H341" s="633"/>
      <c r="I341" s="633"/>
      <c r="J341" s="633"/>
      <c r="K341" s="633"/>
      <c r="L341" s="633"/>
      <c r="M341" s="724"/>
      <c r="N341" s="144"/>
    </row>
    <row r="342" spans="3:14" hidden="1">
      <c r="C342" s="815"/>
      <c r="D342" s="816"/>
      <c r="E342" s="400" t="s">
        <v>1485</v>
      </c>
      <c r="F342" s="632"/>
      <c r="G342" s="633"/>
      <c r="H342" s="633"/>
      <c r="I342" s="633"/>
      <c r="J342" s="633"/>
      <c r="K342" s="633"/>
      <c r="L342" s="633"/>
      <c r="M342" s="724"/>
      <c r="N342" s="144"/>
    </row>
    <row r="343" spans="3:14" hidden="1">
      <c r="C343" s="804" t="s">
        <v>1491</v>
      </c>
      <c r="D343" s="817"/>
      <c r="E343" s="360" t="s">
        <v>1486</v>
      </c>
      <c r="F343" s="632"/>
      <c r="G343" s="633"/>
      <c r="H343" s="633"/>
      <c r="I343" s="633"/>
      <c r="J343" s="633"/>
      <c r="K343" s="633"/>
      <c r="L343" s="633"/>
      <c r="M343" s="724"/>
      <c r="N343" s="144"/>
    </row>
    <row r="344" spans="3:14" hidden="1">
      <c r="C344" s="813"/>
      <c r="D344" s="818"/>
      <c r="E344" s="360" t="s">
        <v>1487</v>
      </c>
      <c r="F344" s="632"/>
      <c r="G344" s="633"/>
      <c r="H344" s="633"/>
      <c r="I344" s="633"/>
      <c r="J344" s="633"/>
      <c r="K344" s="633"/>
      <c r="L344" s="633"/>
      <c r="M344" s="724"/>
      <c r="N344" s="144"/>
    </row>
    <row r="345" spans="3:14" hidden="1">
      <c r="C345" s="813"/>
      <c r="D345" s="818"/>
      <c r="E345" s="360" t="s">
        <v>1488</v>
      </c>
      <c r="F345" s="632"/>
      <c r="G345" s="633"/>
      <c r="H345" s="633"/>
      <c r="I345" s="633"/>
      <c r="J345" s="633"/>
      <c r="K345" s="633"/>
      <c r="L345" s="633"/>
      <c r="M345" s="724"/>
      <c r="N345" s="144"/>
    </row>
    <row r="346" spans="3:14" hidden="1">
      <c r="C346" s="815"/>
      <c r="D346" s="819"/>
      <c r="E346" s="360" t="s">
        <v>1489</v>
      </c>
      <c r="F346" s="632"/>
      <c r="G346" s="633"/>
      <c r="H346" s="633"/>
      <c r="I346" s="633"/>
      <c r="J346" s="633"/>
      <c r="K346" s="633"/>
      <c r="L346" s="633"/>
      <c r="M346" s="724"/>
      <c r="N346" s="144"/>
    </row>
    <row r="347" spans="3:14" ht="45" hidden="1" customHeight="1">
      <c r="C347" s="654" t="str">
        <f>IF($E337="No","Results of the consultation of airspace users' representatives", "Benefits for airspace users and results of the consultation of airspace users' representatives")</f>
        <v>Benefits for airspace users and results of the consultation of airspace users' representatives</v>
      </c>
      <c r="D347" s="655"/>
      <c r="E347" s="820"/>
      <c r="F347" s="809"/>
      <c r="G347" s="809"/>
      <c r="H347" s="809"/>
      <c r="I347" s="809"/>
      <c r="J347" s="809"/>
      <c r="K347" s="809"/>
      <c r="L347" s="809"/>
      <c r="M347" s="809"/>
      <c r="N347" s="144"/>
    </row>
    <row r="348" spans="3:14" hidden="1">
      <c r="C348" s="654" t="s">
        <v>996</v>
      </c>
      <c r="D348" s="655"/>
      <c r="E348" s="189" t="s">
        <v>240</v>
      </c>
      <c r="F348" s="806"/>
      <c r="G348" s="807"/>
      <c r="H348" s="807"/>
      <c r="I348" s="807"/>
      <c r="J348" s="807"/>
      <c r="K348" s="807"/>
      <c r="L348" s="807"/>
      <c r="M348" s="807"/>
      <c r="N348" s="144"/>
    </row>
    <row r="349" spans="3:14" hidden="1">
      <c r="C349" s="654" t="s">
        <v>326</v>
      </c>
      <c r="D349" s="655"/>
      <c r="E349" s="189" t="s">
        <v>240</v>
      </c>
      <c r="F349" s="806"/>
      <c r="G349" s="807"/>
      <c r="H349" s="807"/>
      <c r="I349" s="807"/>
      <c r="J349" s="807"/>
      <c r="K349" s="807"/>
      <c r="L349" s="807"/>
      <c r="M349" s="807"/>
      <c r="N349" s="144"/>
    </row>
    <row r="350" spans="3:14" ht="15" hidden="1" customHeight="1">
      <c r="C350" s="804" t="s">
        <v>997</v>
      </c>
      <c r="D350" s="805"/>
      <c r="E350" s="189" t="s">
        <v>240</v>
      </c>
      <c r="F350" s="806"/>
      <c r="G350" s="807"/>
      <c r="H350" s="807"/>
      <c r="I350" s="807"/>
      <c r="J350" s="807"/>
      <c r="K350" s="807"/>
      <c r="L350" s="807"/>
      <c r="M350" s="807"/>
      <c r="N350" s="144"/>
    </row>
    <row r="351" spans="3:14" ht="30" hidden="1" customHeight="1">
      <c r="C351" s="804" t="s">
        <v>327</v>
      </c>
      <c r="D351" s="805"/>
      <c r="E351" s="189" t="s">
        <v>240</v>
      </c>
      <c r="F351" s="806"/>
      <c r="G351" s="807"/>
      <c r="H351" s="807"/>
      <c r="I351" s="807"/>
      <c r="J351" s="807"/>
      <c r="K351" s="807"/>
      <c r="L351" s="807"/>
      <c r="M351" s="807"/>
      <c r="N351" s="144"/>
    </row>
    <row r="352" spans="3:14" ht="9" hidden="1" customHeight="1">
      <c r="C352" s="132"/>
      <c r="D352" s="132"/>
      <c r="E352" s="132"/>
      <c r="F352" s="132"/>
      <c r="G352" s="132"/>
      <c r="H352" s="132"/>
      <c r="I352" s="132"/>
      <c r="J352" s="132"/>
      <c r="K352" s="132"/>
      <c r="L352" s="132"/>
      <c r="M352" s="132"/>
    </row>
    <row r="353" spans="1:14" hidden="1"/>
    <row r="354" spans="1:14" hidden="1">
      <c r="A354" s="6" t="s">
        <v>693</v>
      </c>
      <c r="C354" s="798" t="s">
        <v>658</v>
      </c>
      <c r="D354" s="799"/>
      <c r="E354" s="800" t="str">
        <f>IF(C25="","",C25)</f>
        <v/>
      </c>
      <c r="F354" s="801"/>
      <c r="G354" s="801"/>
      <c r="H354" s="801"/>
      <c r="I354" s="801"/>
      <c r="J354" s="654" t="s">
        <v>322</v>
      </c>
      <c r="K354" s="655"/>
      <c r="L354" s="802">
        <f>D25</f>
        <v>0</v>
      </c>
      <c r="M354" s="803"/>
      <c r="N354" s="144"/>
    </row>
    <row r="355" spans="1:14" ht="45" hidden="1" customHeight="1">
      <c r="C355" s="654" t="s">
        <v>995</v>
      </c>
      <c r="D355" s="655"/>
      <c r="E355" s="808"/>
      <c r="F355" s="809"/>
      <c r="G355" s="809"/>
      <c r="H355" s="809"/>
      <c r="I355" s="809"/>
      <c r="J355" s="809"/>
      <c r="K355" s="809"/>
      <c r="L355" s="809"/>
      <c r="M355" s="809"/>
      <c r="N355" s="144"/>
    </row>
    <row r="356" spans="1:14" ht="60" hidden="1" customHeight="1">
      <c r="C356" s="810" t="str">
        <f>"The investment is mandated by a SES Regulation (i.e. PCP/CP1/Interoperability)?" &amp; IF($E356="yes"," Ref. to the Regulation and, if funded through Union assistance programmes, ref. to the relevant grant agreement.)","")</f>
        <v>The investment is mandated by a SES Regulation (i.e. PCP/CP1/Interoperability)?</v>
      </c>
      <c r="D356" s="811"/>
      <c r="E356" s="398" t="s">
        <v>240</v>
      </c>
      <c r="F356" s="632"/>
      <c r="G356" s="633"/>
      <c r="H356" s="633"/>
      <c r="I356" s="633"/>
      <c r="J356" s="633"/>
      <c r="K356" s="633"/>
      <c r="L356" s="633"/>
      <c r="M356" s="724"/>
      <c r="N356" s="144"/>
    </row>
    <row r="357" spans="1:14" ht="15" hidden="1" customHeight="1">
      <c r="C357" s="654" t="s">
        <v>1725</v>
      </c>
      <c r="D357" s="825"/>
      <c r="E357" s="417" t="s">
        <v>1550</v>
      </c>
      <c r="F357" s="417" t="s">
        <v>1551</v>
      </c>
      <c r="G357" s="417" t="s">
        <v>1552</v>
      </c>
      <c r="H357" s="417" t="s">
        <v>1553</v>
      </c>
      <c r="I357" s="417" t="s">
        <v>1554</v>
      </c>
      <c r="J357" s="417" t="s">
        <v>1555</v>
      </c>
      <c r="K357" s="417" t="s">
        <v>1556</v>
      </c>
      <c r="L357" s="821"/>
      <c r="M357" s="822"/>
      <c r="N357" s="144"/>
    </row>
    <row r="358" spans="1:14" ht="30" hidden="1" customHeight="1">
      <c r="C358" s="826"/>
      <c r="D358" s="827"/>
      <c r="E358" s="411"/>
      <c r="F358" s="411"/>
      <c r="G358" s="411"/>
      <c r="H358" s="411"/>
      <c r="I358" s="411"/>
      <c r="J358" s="411"/>
      <c r="K358" s="411"/>
      <c r="L358" s="823"/>
      <c r="M358" s="824"/>
      <c r="N358" s="144"/>
    </row>
    <row r="359" spans="1:14" ht="15" hidden="1" customHeight="1">
      <c r="C359" s="804" t="s">
        <v>1490</v>
      </c>
      <c r="D359" s="812"/>
      <c r="E359" s="399" t="s">
        <v>1484</v>
      </c>
      <c r="F359" s="632"/>
      <c r="G359" s="633"/>
      <c r="H359" s="633"/>
      <c r="I359" s="633"/>
      <c r="J359" s="633"/>
      <c r="K359" s="633"/>
      <c r="L359" s="633"/>
      <c r="M359" s="724"/>
      <c r="N359" s="144"/>
    </row>
    <row r="360" spans="1:14" hidden="1">
      <c r="C360" s="813"/>
      <c r="D360" s="814"/>
      <c r="E360" s="320" t="s">
        <v>1492</v>
      </c>
      <c r="F360" s="632"/>
      <c r="G360" s="633"/>
      <c r="H360" s="633"/>
      <c r="I360" s="633"/>
      <c r="J360" s="633"/>
      <c r="K360" s="633"/>
      <c r="L360" s="633"/>
      <c r="M360" s="724"/>
      <c r="N360" s="144"/>
    </row>
    <row r="361" spans="1:14" hidden="1">
      <c r="C361" s="815"/>
      <c r="D361" s="816"/>
      <c r="E361" s="400" t="s">
        <v>1485</v>
      </c>
      <c r="F361" s="632"/>
      <c r="G361" s="633"/>
      <c r="H361" s="633"/>
      <c r="I361" s="633"/>
      <c r="J361" s="633"/>
      <c r="K361" s="633"/>
      <c r="L361" s="633"/>
      <c r="M361" s="724"/>
      <c r="N361" s="144"/>
    </row>
    <row r="362" spans="1:14" hidden="1">
      <c r="C362" s="804" t="s">
        <v>1491</v>
      </c>
      <c r="D362" s="817"/>
      <c r="E362" s="360" t="s">
        <v>1486</v>
      </c>
      <c r="F362" s="632"/>
      <c r="G362" s="633"/>
      <c r="H362" s="633"/>
      <c r="I362" s="633"/>
      <c r="J362" s="633"/>
      <c r="K362" s="633"/>
      <c r="L362" s="633"/>
      <c r="M362" s="724"/>
      <c r="N362" s="144"/>
    </row>
    <row r="363" spans="1:14" hidden="1">
      <c r="C363" s="813"/>
      <c r="D363" s="818"/>
      <c r="E363" s="360" t="s">
        <v>1487</v>
      </c>
      <c r="F363" s="632"/>
      <c r="G363" s="633"/>
      <c r="H363" s="633"/>
      <c r="I363" s="633"/>
      <c r="J363" s="633"/>
      <c r="K363" s="633"/>
      <c r="L363" s="633"/>
      <c r="M363" s="724"/>
      <c r="N363" s="144"/>
    </row>
    <row r="364" spans="1:14" hidden="1">
      <c r="C364" s="813"/>
      <c r="D364" s="818"/>
      <c r="E364" s="360" t="s">
        <v>1488</v>
      </c>
      <c r="F364" s="632"/>
      <c r="G364" s="633"/>
      <c r="H364" s="633"/>
      <c r="I364" s="633"/>
      <c r="J364" s="633"/>
      <c r="K364" s="633"/>
      <c r="L364" s="633"/>
      <c r="M364" s="724"/>
      <c r="N364" s="144"/>
    </row>
    <row r="365" spans="1:14" hidden="1">
      <c r="C365" s="815"/>
      <c r="D365" s="819"/>
      <c r="E365" s="360" t="s">
        <v>1489</v>
      </c>
      <c r="F365" s="632"/>
      <c r="G365" s="633"/>
      <c r="H365" s="633"/>
      <c r="I365" s="633"/>
      <c r="J365" s="633"/>
      <c r="K365" s="633"/>
      <c r="L365" s="633"/>
      <c r="M365" s="724"/>
      <c r="N365" s="144"/>
    </row>
    <row r="366" spans="1:14" ht="45" hidden="1" customHeight="1">
      <c r="C366" s="654" t="str">
        <f>IF($E356="No","Results of the consultation of airspace users' representatives", "Benefits for airspace users and results of the consultation of airspace users' representatives")</f>
        <v>Benefits for airspace users and results of the consultation of airspace users' representatives</v>
      </c>
      <c r="D366" s="655"/>
      <c r="E366" s="820"/>
      <c r="F366" s="809"/>
      <c r="G366" s="809"/>
      <c r="H366" s="809"/>
      <c r="I366" s="809"/>
      <c r="J366" s="809"/>
      <c r="K366" s="809"/>
      <c r="L366" s="809"/>
      <c r="M366" s="809"/>
      <c r="N366" s="144"/>
    </row>
    <row r="367" spans="1:14" hidden="1">
      <c r="C367" s="654" t="s">
        <v>996</v>
      </c>
      <c r="D367" s="655"/>
      <c r="E367" s="189" t="s">
        <v>240</v>
      </c>
      <c r="F367" s="806"/>
      <c r="G367" s="807"/>
      <c r="H367" s="807"/>
      <c r="I367" s="807"/>
      <c r="J367" s="807"/>
      <c r="K367" s="807"/>
      <c r="L367" s="807"/>
      <c r="M367" s="807"/>
      <c r="N367" s="144"/>
    </row>
    <row r="368" spans="1:14" hidden="1">
      <c r="C368" s="654" t="s">
        <v>326</v>
      </c>
      <c r="D368" s="655"/>
      <c r="E368" s="189" t="s">
        <v>240</v>
      </c>
      <c r="F368" s="806"/>
      <c r="G368" s="807"/>
      <c r="H368" s="807"/>
      <c r="I368" s="807"/>
      <c r="J368" s="807"/>
      <c r="K368" s="807"/>
      <c r="L368" s="807"/>
      <c r="M368" s="807"/>
      <c r="N368" s="144"/>
    </row>
    <row r="369" spans="1:14" ht="15" hidden="1" customHeight="1">
      <c r="C369" s="804" t="s">
        <v>997</v>
      </c>
      <c r="D369" s="805"/>
      <c r="E369" s="189" t="s">
        <v>240</v>
      </c>
      <c r="F369" s="806"/>
      <c r="G369" s="807"/>
      <c r="H369" s="807"/>
      <c r="I369" s="807"/>
      <c r="J369" s="807"/>
      <c r="K369" s="807"/>
      <c r="L369" s="807"/>
      <c r="M369" s="807"/>
      <c r="N369" s="144"/>
    </row>
    <row r="370" spans="1:14" ht="30" hidden="1" customHeight="1">
      <c r="C370" s="804" t="s">
        <v>327</v>
      </c>
      <c r="D370" s="805"/>
      <c r="E370" s="189" t="s">
        <v>240</v>
      </c>
      <c r="F370" s="806"/>
      <c r="G370" s="807"/>
      <c r="H370" s="807"/>
      <c r="I370" s="807"/>
      <c r="J370" s="807"/>
      <c r="K370" s="807"/>
      <c r="L370" s="807"/>
      <c r="M370" s="807"/>
      <c r="N370" s="144"/>
    </row>
    <row r="371" spans="1:14" ht="9" hidden="1" customHeight="1">
      <c r="C371" s="132"/>
      <c r="D371" s="132"/>
      <c r="E371" s="132"/>
      <c r="F371" s="132"/>
      <c r="G371" s="132"/>
      <c r="H371" s="132"/>
      <c r="I371" s="132"/>
      <c r="J371" s="132"/>
      <c r="K371" s="132"/>
      <c r="L371" s="132"/>
      <c r="M371" s="132"/>
    </row>
    <row r="372" spans="1:14" hidden="1"/>
    <row r="373" spans="1:14" hidden="1">
      <c r="A373" s="6" t="s">
        <v>693</v>
      </c>
      <c r="C373" s="798" t="s">
        <v>659</v>
      </c>
      <c r="D373" s="799"/>
      <c r="E373" s="800" t="str">
        <f>IF(C26="","",C26)</f>
        <v/>
      </c>
      <c r="F373" s="801"/>
      <c r="G373" s="801"/>
      <c r="H373" s="801"/>
      <c r="I373" s="801"/>
      <c r="J373" s="654" t="s">
        <v>322</v>
      </c>
      <c r="K373" s="655"/>
      <c r="L373" s="802">
        <f>D26</f>
        <v>0</v>
      </c>
      <c r="M373" s="803"/>
      <c r="N373" s="144"/>
    </row>
    <row r="374" spans="1:14" ht="45" hidden="1" customHeight="1">
      <c r="C374" s="654" t="s">
        <v>995</v>
      </c>
      <c r="D374" s="655"/>
      <c r="E374" s="808"/>
      <c r="F374" s="809"/>
      <c r="G374" s="809"/>
      <c r="H374" s="809"/>
      <c r="I374" s="809"/>
      <c r="J374" s="809"/>
      <c r="K374" s="809"/>
      <c r="L374" s="809"/>
      <c r="M374" s="809"/>
      <c r="N374" s="144"/>
    </row>
    <row r="375" spans="1:14" ht="60" hidden="1" customHeight="1">
      <c r="C375" s="810" t="str">
        <f>"The investment is mandated by a SES Regulation (i.e. PCP/CP1/Interoperability)?" &amp; IF($E375="yes"," Ref. to the Regulation and, if funded through Union assistance programmes, ref. to the relevant grant agreement.)","")</f>
        <v>The investment is mandated by a SES Regulation (i.e. PCP/CP1/Interoperability)?</v>
      </c>
      <c r="D375" s="811"/>
      <c r="E375" s="398" t="s">
        <v>240</v>
      </c>
      <c r="F375" s="632"/>
      <c r="G375" s="633"/>
      <c r="H375" s="633"/>
      <c r="I375" s="633"/>
      <c r="J375" s="633"/>
      <c r="K375" s="633"/>
      <c r="L375" s="633"/>
      <c r="M375" s="724"/>
      <c r="N375" s="144"/>
    </row>
    <row r="376" spans="1:14" ht="15" hidden="1" customHeight="1">
      <c r="C376" s="654" t="s">
        <v>1725</v>
      </c>
      <c r="D376" s="825"/>
      <c r="E376" s="417" t="s">
        <v>1550</v>
      </c>
      <c r="F376" s="417" t="s">
        <v>1551</v>
      </c>
      <c r="G376" s="417" t="s">
        <v>1552</v>
      </c>
      <c r="H376" s="417" t="s">
        <v>1553</v>
      </c>
      <c r="I376" s="417" t="s">
        <v>1554</v>
      </c>
      <c r="J376" s="417" t="s">
        <v>1555</v>
      </c>
      <c r="K376" s="417" t="s">
        <v>1556</v>
      </c>
      <c r="L376" s="821"/>
      <c r="M376" s="822"/>
      <c r="N376" s="144"/>
    </row>
    <row r="377" spans="1:14" ht="30" hidden="1" customHeight="1">
      <c r="C377" s="826"/>
      <c r="D377" s="827"/>
      <c r="E377" s="411"/>
      <c r="F377" s="411"/>
      <c r="G377" s="411"/>
      <c r="H377" s="411"/>
      <c r="I377" s="411"/>
      <c r="J377" s="411"/>
      <c r="K377" s="411"/>
      <c r="L377" s="823"/>
      <c r="M377" s="824"/>
      <c r="N377" s="144"/>
    </row>
    <row r="378" spans="1:14" ht="15" hidden="1" customHeight="1">
      <c r="C378" s="804" t="s">
        <v>1490</v>
      </c>
      <c r="D378" s="812"/>
      <c r="E378" s="399" t="s">
        <v>1484</v>
      </c>
      <c r="F378" s="632"/>
      <c r="G378" s="633"/>
      <c r="H378" s="633"/>
      <c r="I378" s="633"/>
      <c r="J378" s="633"/>
      <c r="K378" s="633"/>
      <c r="L378" s="633"/>
      <c r="M378" s="724"/>
      <c r="N378" s="144"/>
    </row>
    <row r="379" spans="1:14" hidden="1">
      <c r="C379" s="813"/>
      <c r="D379" s="814"/>
      <c r="E379" s="320" t="s">
        <v>1492</v>
      </c>
      <c r="F379" s="632"/>
      <c r="G379" s="633"/>
      <c r="H379" s="633"/>
      <c r="I379" s="633"/>
      <c r="J379" s="633"/>
      <c r="K379" s="633"/>
      <c r="L379" s="633"/>
      <c r="M379" s="724"/>
      <c r="N379" s="144"/>
    </row>
    <row r="380" spans="1:14" hidden="1">
      <c r="C380" s="815"/>
      <c r="D380" s="816"/>
      <c r="E380" s="400" t="s">
        <v>1485</v>
      </c>
      <c r="F380" s="632"/>
      <c r="G380" s="633"/>
      <c r="H380" s="633"/>
      <c r="I380" s="633"/>
      <c r="J380" s="633"/>
      <c r="K380" s="633"/>
      <c r="L380" s="633"/>
      <c r="M380" s="724"/>
      <c r="N380" s="144"/>
    </row>
    <row r="381" spans="1:14" hidden="1">
      <c r="C381" s="804" t="s">
        <v>1491</v>
      </c>
      <c r="D381" s="817"/>
      <c r="E381" s="360" t="s">
        <v>1486</v>
      </c>
      <c r="F381" s="632"/>
      <c r="G381" s="633"/>
      <c r="H381" s="633"/>
      <c r="I381" s="633"/>
      <c r="J381" s="633"/>
      <c r="K381" s="633"/>
      <c r="L381" s="633"/>
      <c r="M381" s="724"/>
      <c r="N381" s="144"/>
    </row>
    <row r="382" spans="1:14" hidden="1">
      <c r="C382" s="813"/>
      <c r="D382" s="818"/>
      <c r="E382" s="360" t="s">
        <v>1487</v>
      </c>
      <c r="F382" s="632"/>
      <c r="G382" s="633"/>
      <c r="H382" s="633"/>
      <c r="I382" s="633"/>
      <c r="J382" s="633"/>
      <c r="K382" s="633"/>
      <c r="L382" s="633"/>
      <c r="M382" s="724"/>
      <c r="N382" s="144"/>
    </row>
    <row r="383" spans="1:14" hidden="1">
      <c r="C383" s="813"/>
      <c r="D383" s="818"/>
      <c r="E383" s="360" t="s">
        <v>1488</v>
      </c>
      <c r="F383" s="632"/>
      <c r="G383" s="633"/>
      <c r="H383" s="633"/>
      <c r="I383" s="633"/>
      <c r="J383" s="633"/>
      <c r="K383" s="633"/>
      <c r="L383" s="633"/>
      <c r="M383" s="724"/>
      <c r="N383" s="144"/>
    </row>
    <row r="384" spans="1:14" hidden="1">
      <c r="C384" s="815"/>
      <c r="D384" s="819"/>
      <c r="E384" s="360" t="s">
        <v>1489</v>
      </c>
      <c r="F384" s="632"/>
      <c r="G384" s="633"/>
      <c r="H384" s="633"/>
      <c r="I384" s="633"/>
      <c r="J384" s="633"/>
      <c r="K384" s="633"/>
      <c r="L384" s="633"/>
      <c r="M384" s="724"/>
      <c r="N384" s="144"/>
    </row>
    <row r="385" spans="1:14" ht="45" hidden="1" customHeight="1">
      <c r="C385" s="654" t="str">
        <f>IF($E375="No","Results of the consultation of airspace users' representatives", "Benefits for airspace users and results of the consultation of airspace users' representatives")</f>
        <v>Benefits for airspace users and results of the consultation of airspace users' representatives</v>
      </c>
      <c r="D385" s="655"/>
      <c r="E385" s="820"/>
      <c r="F385" s="809"/>
      <c r="G385" s="809"/>
      <c r="H385" s="809"/>
      <c r="I385" s="809"/>
      <c r="J385" s="809"/>
      <c r="K385" s="809"/>
      <c r="L385" s="809"/>
      <c r="M385" s="809"/>
      <c r="N385" s="144"/>
    </row>
    <row r="386" spans="1:14" hidden="1">
      <c r="C386" s="654" t="s">
        <v>996</v>
      </c>
      <c r="D386" s="655"/>
      <c r="E386" s="189" t="s">
        <v>240</v>
      </c>
      <c r="F386" s="806"/>
      <c r="G386" s="807"/>
      <c r="H386" s="807"/>
      <c r="I386" s="807"/>
      <c r="J386" s="807"/>
      <c r="K386" s="807"/>
      <c r="L386" s="807"/>
      <c r="M386" s="807"/>
      <c r="N386" s="144"/>
    </row>
    <row r="387" spans="1:14" hidden="1">
      <c r="C387" s="654" t="s">
        <v>326</v>
      </c>
      <c r="D387" s="655"/>
      <c r="E387" s="189" t="s">
        <v>240</v>
      </c>
      <c r="F387" s="806"/>
      <c r="G387" s="807"/>
      <c r="H387" s="807"/>
      <c r="I387" s="807"/>
      <c r="J387" s="807"/>
      <c r="K387" s="807"/>
      <c r="L387" s="807"/>
      <c r="M387" s="807"/>
      <c r="N387" s="144"/>
    </row>
    <row r="388" spans="1:14" ht="15" hidden="1" customHeight="1">
      <c r="C388" s="804" t="s">
        <v>997</v>
      </c>
      <c r="D388" s="805"/>
      <c r="E388" s="189" t="s">
        <v>240</v>
      </c>
      <c r="F388" s="806"/>
      <c r="G388" s="807"/>
      <c r="H388" s="807"/>
      <c r="I388" s="807"/>
      <c r="J388" s="807"/>
      <c r="K388" s="807"/>
      <c r="L388" s="807"/>
      <c r="M388" s="807"/>
      <c r="N388" s="144"/>
    </row>
    <row r="389" spans="1:14" ht="30" hidden="1" customHeight="1">
      <c r="C389" s="804" t="s">
        <v>327</v>
      </c>
      <c r="D389" s="805"/>
      <c r="E389" s="189" t="s">
        <v>240</v>
      </c>
      <c r="F389" s="806"/>
      <c r="G389" s="807"/>
      <c r="H389" s="807"/>
      <c r="I389" s="807"/>
      <c r="J389" s="807"/>
      <c r="K389" s="807"/>
      <c r="L389" s="807"/>
      <c r="M389" s="807"/>
      <c r="N389" s="144"/>
    </row>
    <row r="390" spans="1:14" ht="9" hidden="1" customHeight="1">
      <c r="C390" s="132"/>
      <c r="D390" s="132"/>
      <c r="E390" s="132"/>
      <c r="F390" s="132"/>
      <c r="G390" s="132"/>
      <c r="H390" s="132"/>
      <c r="I390" s="132"/>
      <c r="J390" s="132"/>
      <c r="K390" s="132"/>
      <c r="L390" s="132"/>
      <c r="M390" s="132"/>
    </row>
    <row r="391" spans="1:14" hidden="1"/>
    <row r="392" spans="1:14" hidden="1">
      <c r="A392" s="6" t="s">
        <v>693</v>
      </c>
      <c r="C392" s="798" t="s">
        <v>660</v>
      </c>
      <c r="D392" s="799"/>
      <c r="E392" s="800" t="str">
        <f>IF(C27="","",C27)</f>
        <v/>
      </c>
      <c r="F392" s="801"/>
      <c r="G392" s="801"/>
      <c r="H392" s="801"/>
      <c r="I392" s="801"/>
      <c r="J392" s="654" t="s">
        <v>322</v>
      </c>
      <c r="K392" s="655"/>
      <c r="L392" s="802">
        <f>D27</f>
        <v>0</v>
      </c>
      <c r="M392" s="803"/>
      <c r="N392" s="144"/>
    </row>
    <row r="393" spans="1:14" ht="45" hidden="1" customHeight="1">
      <c r="C393" s="654" t="s">
        <v>995</v>
      </c>
      <c r="D393" s="655"/>
      <c r="E393" s="808"/>
      <c r="F393" s="809"/>
      <c r="G393" s="809"/>
      <c r="H393" s="809"/>
      <c r="I393" s="809"/>
      <c r="J393" s="809"/>
      <c r="K393" s="809"/>
      <c r="L393" s="809"/>
      <c r="M393" s="809"/>
      <c r="N393" s="144"/>
    </row>
    <row r="394" spans="1:14" ht="60" hidden="1" customHeight="1">
      <c r="C394" s="810" t="str">
        <f>"The investment is mandated by a SES Regulation (i.e. PCP/CP1/Interoperability)?" &amp; IF($E394="yes"," Ref. to the Regulation and, if funded through Union assistance programmes, ref. to the relevant grant agreement.)","")</f>
        <v>The investment is mandated by a SES Regulation (i.e. PCP/CP1/Interoperability)?</v>
      </c>
      <c r="D394" s="811"/>
      <c r="E394" s="398" t="s">
        <v>240</v>
      </c>
      <c r="F394" s="632"/>
      <c r="G394" s="633"/>
      <c r="H394" s="633"/>
      <c r="I394" s="633"/>
      <c r="J394" s="633"/>
      <c r="K394" s="633"/>
      <c r="L394" s="633"/>
      <c r="M394" s="724"/>
      <c r="N394" s="144"/>
    </row>
    <row r="395" spans="1:14" ht="15" hidden="1" customHeight="1">
      <c r="C395" s="654" t="s">
        <v>1725</v>
      </c>
      <c r="D395" s="825"/>
      <c r="E395" s="417" t="s">
        <v>1550</v>
      </c>
      <c r="F395" s="417" t="s">
        <v>1551</v>
      </c>
      <c r="G395" s="417" t="s">
        <v>1552</v>
      </c>
      <c r="H395" s="417" t="s">
        <v>1553</v>
      </c>
      <c r="I395" s="417" t="s">
        <v>1554</v>
      </c>
      <c r="J395" s="417" t="s">
        <v>1555</v>
      </c>
      <c r="K395" s="417" t="s">
        <v>1556</v>
      </c>
      <c r="L395" s="821"/>
      <c r="M395" s="822"/>
      <c r="N395" s="144"/>
    </row>
    <row r="396" spans="1:14" ht="30" hidden="1" customHeight="1">
      <c r="C396" s="826"/>
      <c r="D396" s="827"/>
      <c r="E396" s="411"/>
      <c r="F396" s="411"/>
      <c r="G396" s="411"/>
      <c r="H396" s="411"/>
      <c r="I396" s="411"/>
      <c r="J396" s="411"/>
      <c r="K396" s="411"/>
      <c r="L396" s="823"/>
      <c r="M396" s="824"/>
      <c r="N396" s="144"/>
    </row>
    <row r="397" spans="1:14" ht="15" hidden="1" customHeight="1">
      <c r="C397" s="804" t="s">
        <v>1490</v>
      </c>
      <c r="D397" s="812"/>
      <c r="E397" s="399" t="s">
        <v>1484</v>
      </c>
      <c r="F397" s="632"/>
      <c r="G397" s="633"/>
      <c r="H397" s="633"/>
      <c r="I397" s="633"/>
      <c r="J397" s="633"/>
      <c r="K397" s="633"/>
      <c r="L397" s="633"/>
      <c r="M397" s="724"/>
      <c r="N397" s="144"/>
    </row>
    <row r="398" spans="1:14" hidden="1">
      <c r="C398" s="813"/>
      <c r="D398" s="814"/>
      <c r="E398" s="320" t="s">
        <v>1492</v>
      </c>
      <c r="F398" s="632"/>
      <c r="G398" s="633"/>
      <c r="H398" s="633"/>
      <c r="I398" s="633"/>
      <c r="J398" s="633"/>
      <c r="K398" s="633"/>
      <c r="L398" s="633"/>
      <c r="M398" s="724"/>
      <c r="N398" s="144"/>
    </row>
    <row r="399" spans="1:14" hidden="1">
      <c r="C399" s="815"/>
      <c r="D399" s="816"/>
      <c r="E399" s="400" t="s">
        <v>1485</v>
      </c>
      <c r="F399" s="632"/>
      <c r="G399" s="633"/>
      <c r="H399" s="633"/>
      <c r="I399" s="633"/>
      <c r="J399" s="633"/>
      <c r="K399" s="633"/>
      <c r="L399" s="633"/>
      <c r="M399" s="724"/>
      <c r="N399" s="144"/>
    </row>
    <row r="400" spans="1:14" hidden="1">
      <c r="C400" s="804" t="s">
        <v>1491</v>
      </c>
      <c r="D400" s="817"/>
      <c r="E400" s="360" t="s">
        <v>1486</v>
      </c>
      <c r="F400" s="632"/>
      <c r="G400" s="633"/>
      <c r="H400" s="633"/>
      <c r="I400" s="633"/>
      <c r="J400" s="633"/>
      <c r="K400" s="633"/>
      <c r="L400" s="633"/>
      <c r="M400" s="724"/>
      <c r="N400" s="144"/>
    </row>
    <row r="401" spans="1:14" hidden="1">
      <c r="C401" s="813"/>
      <c r="D401" s="818"/>
      <c r="E401" s="360" t="s">
        <v>1487</v>
      </c>
      <c r="F401" s="632"/>
      <c r="G401" s="633"/>
      <c r="H401" s="633"/>
      <c r="I401" s="633"/>
      <c r="J401" s="633"/>
      <c r="K401" s="633"/>
      <c r="L401" s="633"/>
      <c r="M401" s="724"/>
      <c r="N401" s="144"/>
    </row>
    <row r="402" spans="1:14" hidden="1">
      <c r="C402" s="813"/>
      <c r="D402" s="818"/>
      <c r="E402" s="360" t="s">
        <v>1488</v>
      </c>
      <c r="F402" s="632"/>
      <c r="G402" s="633"/>
      <c r="H402" s="633"/>
      <c r="I402" s="633"/>
      <c r="J402" s="633"/>
      <c r="K402" s="633"/>
      <c r="L402" s="633"/>
      <c r="M402" s="724"/>
      <c r="N402" s="144"/>
    </row>
    <row r="403" spans="1:14" hidden="1">
      <c r="C403" s="815"/>
      <c r="D403" s="819"/>
      <c r="E403" s="360" t="s">
        <v>1489</v>
      </c>
      <c r="F403" s="632"/>
      <c r="G403" s="633"/>
      <c r="H403" s="633"/>
      <c r="I403" s="633"/>
      <c r="J403" s="633"/>
      <c r="K403" s="633"/>
      <c r="L403" s="633"/>
      <c r="M403" s="724"/>
      <c r="N403" s="144"/>
    </row>
    <row r="404" spans="1:14" ht="45" hidden="1" customHeight="1">
      <c r="C404" s="654" t="str">
        <f>IF($E394="No","Results of the consultation of airspace users' representatives", "Benefits for airspace users and results of the consultation of airspace users' representatives")</f>
        <v>Benefits for airspace users and results of the consultation of airspace users' representatives</v>
      </c>
      <c r="D404" s="655"/>
      <c r="E404" s="820"/>
      <c r="F404" s="809"/>
      <c r="G404" s="809"/>
      <c r="H404" s="809"/>
      <c r="I404" s="809"/>
      <c r="J404" s="809"/>
      <c r="K404" s="809"/>
      <c r="L404" s="809"/>
      <c r="M404" s="809"/>
      <c r="N404" s="144"/>
    </row>
    <row r="405" spans="1:14" hidden="1">
      <c r="C405" s="654" t="s">
        <v>996</v>
      </c>
      <c r="D405" s="655"/>
      <c r="E405" s="189" t="s">
        <v>240</v>
      </c>
      <c r="F405" s="806"/>
      <c r="G405" s="807"/>
      <c r="H405" s="807"/>
      <c r="I405" s="807"/>
      <c r="J405" s="807"/>
      <c r="K405" s="807"/>
      <c r="L405" s="807"/>
      <c r="M405" s="807"/>
      <c r="N405" s="144"/>
    </row>
    <row r="406" spans="1:14" hidden="1">
      <c r="C406" s="654" t="s">
        <v>326</v>
      </c>
      <c r="D406" s="655"/>
      <c r="E406" s="189" t="s">
        <v>240</v>
      </c>
      <c r="F406" s="806"/>
      <c r="G406" s="807"/>
      <c r="H406" s="807"/>
      <c r="I406" s="807"/>
      <c r="J406" s="807"/>
      <c r="K406" s="807"/>
      <c r="L406" s="807"/>
      <c r="M406" s="807"/>
      <c r="N406" s="144"/>
    </row>
    <row r="407" spans="1:14" ht="15" hidden="1" customHeight="1">
      <c r="C407" s="804" t="s">
        <v>997</v>
      </c>
      <c r="D407" s="805"/>
      <c r="E407" s="189" t="s">
        <v>240</v>
      </c>
      <c r="F407" s="806"/>
      <c r="G407" s="807"/>
      <c r="H407" s="807"/>
      <c r="I407" s="807"/>
      <c r="J407" s="807"/>
      <c r="K407" s="807"/>
      <c r="L407" s="807"/>
      <c r="M407" s="807"/>
      <c r="N407" s="144"/>
    </row>
    <row r="408" spans="1:14" ht="30" hidden="1" customHeight="1">
      <c r="C408" s="804" t="s">
        <v>327</v>
      </c>
      <c r="D408" s="805"/>
      <c r="E408" s="189" t="s">
        <v>240</v>
      </c>
      <c r="F408" s="806"/>
      <c r="G408" s="807"/>
      <c r="H408" s="807"/>
      <c r="I408" s="807"/>
      <c r="J408" s="807"/>
      <c r="K408" s="807"/>
      <c r="L408" s="807"/>
      <c r="M408" s="807"/>
      <c r="N408" s="144"/>
    </row>
    <row r="409" spans="1:14" ht="9" hidden="1" customHeight="1">
      <c r="C409" s="132"/>
      <c r="D409" s="132"/>
      <c r="E409" s="132"/>
      <c r="F409" s="132"/>
      <c r="G409" s="132"/>
      <c r="H409" s="132"/>
      <c r="I409" s="132"/>
      <c r="J409" s="132"/>
      <c r="K409" s="132"/>
      <c r="L409" s="132"/>
      <c r="M409" s="132"/>
    </row>
    <row r="410" spans="1:14" hidden="1"/>
    <row r="411" spans="1:14" hidden="1">
      <c r="A411" s="6" t="s">
        <v>693</v>
      </c>
      <c r="C411" s="798" t="s">
        <v>661</v>
      </c>
      <c r="D411" s="799"/>
      <c r="E411" s="800" t="str">
        <f>IF(C28="","",C28)</f>
        <v/>
      </c>
      <c r="F411" s="801"/>
      <c r="G411" s="801"/>
      <c r="H411" s="801"/>
      <c r="I411" s="801"/>
      <c r="J411" s="654" t="s">
        <v>322</v>
      </c>
      <c r="K411" s="655"/>
      <c r="L411" s="802">
        <f>D28</f>
        <v>0</v>
      </c>
      <c r="M411" s="803"/>
      <c r="N411" s="144"/>
    </row>
    <row r="412" spans="1:14" ht="45" hidden="1" customHeight="1">
      <c r="C412" s="654" t="s">
        <v>995</v>
      </c>
      <c r="D412" s="655"/>
      <c r="E412" s="808"/>
      <c r="F412" s="809"/>
      <c r="G412" s="809"/>
      <c r="H412" s="809"/>
      <c r="I412" s="809"/>
      <c r="J412" s="809"/>
      <c r="K412" s="809"/>
      <c r="L412" s="809"/>
      <c r="M412" s="809"/>
      <c r="N412" s="144"/>
    </row>
    <row r="413" spans="1:14" ht="60" hidden="1" customHeight="1">
      <c r="C413" s="810" t="str">
        <f>"The investment is mandated by a SES Regulation (i.e. PCP/CP1/Interoperability)?" &amp; IF($E413="yes"," Ref. to the Regulation and, if funded through Union assistance programmes, ref. to the relevant grant agreement.)","")</f>
        <v>The investment is mandated by a SES Regulation (i.e. PCP/CP1/Interoperability)?</v>
      </c>
      <c r="D413" s="811"/>
      <c r="E413" s="398" t="s">
        <v>240</v>
      </c>
      <c r="F413" s="632"/>
      <c r="G413" s="633"/>
      <c r="H413" s="633"/>
      <c r="I413" s="633"/>
      <c r="J413" s="633"/>
      <c r="K413" s="633"/>
      <c r="L413" s="633"/>
      <c r="M413" s="724"/>
      <c r="N413" s="144"/>
    </row>
    <row r="414" spans="1:14" ht="15" hidden="1" customHeight="1">
      <c r="C414" s="654" t="s">
        <v>1725</v>
      </c>
      <c r="D414" s="825"/>
      <c r="E414" s="417" t="s">
        <v>1550</v>
      </c>
      <c r="F414" s="417" t="s">
        <v>1551</v>
      </c>
      <c r="G414" s="417" t="s">
        <v>1552</v>
      </c>
      <c r="H414" s="417" t="s">
        <v>1553</v>
      </c>
      <c r="I414" s="417" t="s">
        <v>1554</v>
      </c>
      <c r="J414" s="417" t="s">
        <v>1555</v>
      </c>
      <c r="K414" s="417" t="s">
        <v>1556</v>
      </c>
      <c r="L414" s="821"/>
      <c r="M414" s="822"/>
      <c r="N414" s="144"/>
    </row>
    <row r="415" spans="1:14" ht="30" hidden="1" customHeight="1">
      <c r="C415" s="826"/>
      <c r="D415" s="827"/>
      <c r="E415" s="411"/>
      <c r="F415" s="411"/>
      <c r="G415" s="411"/>
      <c r="H415" s="411"/>
      <c r="I415" s="411"/>
      <c r="J415" s="411"/>
      <c r="K415" s="411"/>
      <c r="L415" s="823"/>
      <c r="M415" s="824"/>
      <c r="N415" s="144"/>
    </row>
    <row r="416" spans="1:14" ht="15" hidden="1" customHeight="1">
      <c r="C416" s="804" t="s">
        <v>1490</v>
      </c>
      <c r="D416" s="812"/>
      <c r="E416" s="399" t="s">
        <v>1484</v>
      </c>
      <c r="F416" s="632"/>
      <c r="G416" s="633"/>
      <c r="H416" s="633"/>
      <c r="I416" s="633"/>
      <c r="J416" s="633"/>
      <c r="K416" s="633"/>
      <c r="L416" s="633"/>
      <c r="M416" s="724"/>
      <c r="N416" s="144"/>
    </row>
    <row r="417" spans="1:14" hidden="1">
      <c r="C417" s="813"/>
      <c r="D417" s="814"/>
      <c r="E417" s="320" t="s">
        <v>1492</v>
      </c>
      <c r="F417" s="632"/>
      <c r="G417" s="633"/>
      <c r="H417" s="633"/>
      <c r="I417" s="633"/>
      <c r="J417" s="633"/>
      <c r="K417" s="633"/>
      <c r="L417" s="633"/>
      <c r="M417" s="724"/>
      <c r="N417" s="144"/>
    </row>
    <row r="418" spans="1:14" hidden="1">
      <c r="C418" s="815"/>
      <c r="D418" s="816"/>
      <c r="E418" s="400" t="s">
        <v>1485</v>
      </c>
      <c r="F418" s="632"/>
      <c r="G418" s="633"/>
      <c r="H418" s="633"/>
      <c r="I418" s="633"/>
      <c r="J418" s="633"/>
      <c r="K418" s="633"/>
      <c r="L418" s="633"/>
      <c r="M418" s="724"/>
      <c r="N418" s="144"/>
    </row>
    <row r="419" spans="1:14" hidden="1">
      <c r="C419" s="804" t="s">
        <v>1491</v>
      </c>
      <c r="D419" s="817"/>
      <c r="E419" s="360" t="s">
        <v>1486</v>
      </c>
      <c r="F419" s="632"/>
      <c r="G419" s="633"/>
      <c r="H419" s="633"/>
      <c r="I419" s="633"/>
      <c r="J419" s="633"/>
      <c r="K419" s="633"/>
      <c r="L419" s="633"/>
      <c r="M419" s="724"/>
      <c r="N419" s="144"/>
    </row>
    <row r="420" spans="1:14" hidden="1">
      <c r="C420" s="813"/>
      <c r="D420" s="818"/>
      <c r="E420" s="360" t="s">
        <v>1487</v>
      </c>
      <c r="F420" s="632"/>
      <c r="G420" s="633"/>
      <c r="H420" s="633"/>
      <c r="I420" s="633"/>
      <c r="J420" s="633"/>
      <c r="K420" s="633"/>
      <c r="L420" s="633"/>
      <c r="M420" s="724"/>
      <c r="N420" s="144"/>
    </row>
    <row r="421" spans="1:14" hidden="1">
      <c r="C421" s="813"/>
      <c r="D421" s="818"/>
      <c r="E421" s="360" t="s">
        <v>1488</v>
      </c>
      <c r="F421" s="632"/>
      <c r="G421" s="633"/>
      <c r="H421" s="633"/>
      <c r="I421" s="633"/>
      <c r="J421" s="633"/>
      <c r="K421" s="633"/>
      <c r="L421" s="633"/>
      <c r="M421" s="724"/>
      <c r="N421" s="144"/>
    </row>
    <row r="422" spans="1:14" hidden="1">
      <c r="C422" s="815"/>
      <c r="D422" s="819"/>
      <c r="E422" s="360" t="s">
        <v>1489</v>
      </c>
      <c r="F422" s="632"/>
      <c r="G422" s="633"/>
      <c r="H422" s="633"/>
      <c r="I422" s="633"/>
      <c r="J422" s="633"/>
      <c r="K422" s="633"/>
      <c r="L422" s="633"/>
      <c r="M422" s="724"/>
      <c r="N422" s="144"/>
    </row>
    <row r="423" spans="1:14" ht="45" hidden="1" customHeight="1">
      <c r="C423" s="654" t="str">
        <f>IF($E413="No","Results of the consultation of airspace users' representatives", "Benefits for airspace users and results of the consultation of airspace users' representatives")</f>
        <v>Benefits for airspace users and results of the consultation of airspace users' representatives</v>
      </c>
      <c r="D423" s="655"/>
      <c r="E423" s="820"/>
      <c r="F423" s="809"/>
      <c r="G423" s="809"/>
      <c r="H423" s="809"/>
      <c r="I423" s="809"/>
      <c r="J423" s="809"/>
      <c r="K423" s="809"/>
      <c r="L423" s="809"/>
      <c r="M423" s="809"/>
      <c r="N423" s="144"/>
    </row>
    <row r="424" spans="1:14" hidden="1">
      <c r="C424" s="654" t="s">
        <v>996</v>
      </c>
      <c r="D424" s="655"/>
      <c r="E424" s="189" t="s">
        <v>240</v>
      </c>
      <c r="F424" s="806"/>
      <c r="G424" s="807"/>
      <c r="H424" s="807"/>
      <c r="I424" s="807"/>
      <c r="J424" s="807"/>
      <c r="K424" s="807"/>
      <c r="L424" s="807"/>
      <c r="M424" s="807"/>
      <c r="N424" s="144"/>
    </row>
    <row r="425" spans="1:14" hidden="1">
      <c r="C425" s="654" t="s">
        <v>326</v>
      </c>
      <c r="D425" s="655"/>
      <c r="E425" s="189" t="s">
        <v>240</v>
      </c>
      <c r="F425" s="806"/>
      <c r="G425" s="807"/>
      <c r="H425" s="807"/>
      <c r="I425" s="807"/>
      <c r="J425" s="807"/>
      <c r="K425" s="807"/>
      <c r="L425" s="807"/>
      <c r="M425" s="807"/>
      <c r="N425" s="144"/>
    </row>
    <row r="426" spans="1:14" ht="15" hidden="1" customHeight="1">
      <c r="C426" s="804" t="s">
        <v>997</v>
      </c>
      <c r="D426" s="805"/>
      <c r="E426" s="189" t="s">
        <v>240</v>
      </c>
      <c r="F426" s="806"/>
      <c r="G426" s="807"/>
      <c r="H426" s="807"/>
      <c r="I426" s="807"/>
      <c r="J426" s="807"/>
      <c r="K426" s="807"/>
      <c r="L426" s="807"/>
      <c r="M426" s="807"/>
      <c r="N426" s="144"/>
    </row>
    <row r="427" spans="1:14" ht="30" hidden="1" customHeight="1">
      <c r="C427" s="804" t="s">
        <v>327</v>
      </c>
      <c r="D427" s="805"/>
      <c r="E427" s="189" t="s">
        <v>240</v>
      </c>
      <c r="F427" s="806"/>
      <c r="G427" s="807"/>
      <c r="H427" s="807"/>
      <c r="I427" s="807"/>
      <c r="J427" s="807"/>
      <c r="K427" s="807"/>
      <c r="L427" s="807"/>
      <c r="M427" s="807"/>
      <c r="N427" s="144"/>
    </row>
    <row r="428" spans="1:14" ht="9" hidden="1" customHeight="1">
      <c r="C428" s="132"/>
      <c r="D428" s="132"/>
      <c r="E428" s="132"/>
      <c r="F428" s="132"/>
      <c r="G428" s="132"/>
      <c r="H428" s="132"/>
      <c r="I428" s="132"/>
      <c r="J428" s="132"/>
      <c r="K428" s="132"/>
      <c r="L428" s="132"/>
      <c r="M428" s="132"/>
    </row>
    <row r="429" spans="1:14" hidden="1"/>
    <row r="430" spans="1:14" hidden="1">
      <c r="A430" s="6" t="s">
        <v>693</v>
      </c>
      <c r="C430" s="798" t="s">
        <v>662</v>
      </c>
      <c r="D430" s="799"/>
      <c r="E430" s="800" t="str">
        <f>IF(C29="","",C29)</f>
        <v/>
      </c>
      <c r="F430" s="801"/>
      <c r="G430" s="801"/>
      <c r="H430" s="801"/>
      <c r="I430" s="801"/>
      <c r="J430" s="654" t="s">
        <v>322</v>
      </c>
      <c r="K430" s="655"/>
      <c r="L430" s="802">
        <f>D29</f>
        <v>0</v>
      </c>
      <c r="M430" s="803"/>
      <c r="N430" s="144"/>
    </row>
    <row r="431" spans="1:14" ht="45" hidden="1" customHeight="1">
      <c r="C431" s="654" t="s">
        <v>995</v>
      </c>
      <c r="D431" s="655"/>
      <c r="E431" s="808"/>
      <c r="F431" s="809"/>
      <c r="G431" s="809"/>
      <c r="H431" s="809"/>
      <c r="I431" s="809"/>
      <c r="J431" s="809"/>
      <c r="K431" s="809"/>
      <c r="L431" s="809"/>
      <c r="M431" s="809"/>
      <c r="N431" s="144"/>
    </row>
    <row r="432" spans="1:14" ht="60" hidden="1" customHeight="1">
      <c r="C432" s="810" t="str">
        <f>"The investment is mandated by a SES Regulation (i.e. PCP/CP1/Interoperability)?" &amp; IF($E432="yes"," Ref. to the Regulation and, if funded through Union assistance programmes, ref. to the relevant grant agreement.)","")</f>
        <v>The investment is mandated by a SES Regulation (i.e. PCP/CP1/Interoperability)?</v>
      </c>
      <c r="D432" s="811"/>
      <c r="E432" s="398" t="s">
        <v>240</v>
      </c>
      <c r="F432" s="632"/>
      <c r="G432" s="633"/>
      <c r="H432" s="633"/>
      <c r="I432" s="633"/>
      <c r="J432" s="633"/>
      <c r="K432" s="633"/>
      <c r="L432" s="633"/>
      <c r="M432" s="724"/>
      <c r="N432" s="144"/>
    </row>
    <row r="433" spans="3:14" ht="15" hidden="1" customHeight="1">
      <c r="C433" s="654" t="s">
        <v>1725</v>
      </c>
      <c r="D433" s="825"/>
      <c r="E433" s="417" t="s">
        <v>1550</v>
      </c>
      <c r="F433" s="417" t="s">
        <v>1551</v>
      </c>
      <c r="G433" s="417" t="s">
        <v>1552</v>
      </c>
      <c r="H433" s="417" t="s">
        <v>1553</v>
      </c>
      <c r="I433" s="417" t="s">
        <v>1554</v>
      </c>
      <c r="J433" s="417" t="s">
        <v>1555</v>
      </c>
      <c r="K433" s="417" t="s">
        <v>1556</v>
      </c>
      <c r="L433" s="821"/>
      <c r="M433" s="822"/>
      <c r="N433" s="144"/>
    </row>
    <row r="434" spans="3:14" ht="30" hidden="1" customHeight="1">
      <c r="C434" s="826"/>
      <c r="D434" s="827"/>
      <c r="E434" s="411"/>
      <c r="F434" s="411"/>
      <c r="G434" s="411"/>
      <c r="H434" s="411"/>
      <c r="I434" s="411"/>
      <c r="J434" s="411"/>
      <c r="K434" s="411"/>
      <c r="L434" s="823"/>
      <c r="M434" s="824"/>
      <c r="N434" s="144"/>
    </row>
    <row r="435" spans="3:14" ht="15" hidden="1" customHeight="1">
      <c r="C435" s="804" t="s">
        <v>1490</v>
      </c>
      <c r="D435" s="812"/>
      <c r="E435" s="399" t="s">
        <v>1484</v>
      </c>
      <c r="F435" s="632"/>
      <c r="G435" s="633"/>
      <c r="H435" s="633"/>
      <c r="I435" s="633"/>
      <c r="J435" s="633"/>
      <c r="K435" s="633"/>
      <c r="L435" s="633"/>
      <c r="M435" s="724"/>
      <c r="N435" s="144"/>
    </row>
    <row r="436" spans="3:14" hidden="1">
      <c r="C436" s="813"/>
      <c r="D436" s="814"/>
      <c r="E436" s="320" t="s">
        <v>1492</v>
      </c>
      <c r="F436" s="632"/>
      <c r="G436" s="633"/>
      <c r="H436" s="633"/>
      <c r="I436" s="633"/>
      <c r="J436" s="633"/>
      <c r="K436" s="633"/>
      <c r="L436" s="633"/>
      <c r="M436" s="724"/>
      <c r="N436" s="144"/>
    </row>
    <row r="437" spans="3:14" hidden="1">
      <c r="C437" s="815"/>
      <c r="D437" s="816"/>
      <c r="E437" s="400" t="s">
        <v>1485</v>
      </c>
      <c r="F437" s="632"/>
      <c r="G437" s="633"/>
      <c r="H437" s="633"/>
      <c r="I437" s="633"/>
      <c r="J437" s="633"/>
      <c r="K437" s="633"/>
      <c r="L437" s="633"/>
      <c r="M437" s="724"/>
      <c r="N437" s="144"/>
    </row>
    <row r="438" spans="3:14" hidden="1">
      <c r="C438" s="804" t="s">
        <v>1491</v>
      </c>
      <c r="D438" s="817"/>
      <c r="E438" s="360" t="s">
        <v>1486</v>
      </c>
      <c r="F438" s="632"/>
      <c r="G438" s="633"/>
      <c r="H438" s="633"/>
      <c r="I438" s="633"/>
      <c r="J438" s="633"/>
      <c r="K438" s="633"/>
      <c r="L438" s="633"/>
      <c r="M438" s="724"/>
      <c r="N438" s="144"/>
    </row>
    <row r="439" spans="3:14" hidden="1">
      <c r="C439" s="813"/>
      <c r="D439" s="818"/>
      <c r="E439" s="360" t="s">
        <v>1487</v>
      </c>
      <c r="F439" s="632"/>
      <c r="G439" s="633"/>
      <c r="H439" s="633"/>
      <c r="I439" s="633"/>
      <c r="J439" s="633"/>
      <c r="K439" s="633"/>
      <c r="L439" s="633"/>
      <c r="M439" s="724"/>
      <c r="N439" s="144"/>
    </row>
    <row r="440" spans="3:14" hidden="1">
      <c r="C440" s="813"/>
      <c r="D440" s="818"/>
      <c r="E440" s="360" t="s">
        <v>1488</v>
      </c>
      <c r="F440" s="632"/>
      <c r="G440" s="633"/>
      <c r="H440" s="633"/>
      <c r="I440" s="633"/>
      <c r="J440" s="633"/>
      <c r="K440" s="633"/>
      <c r="L440" s="633"/>
      <c r="M440" s="724"/>
      <c r="N440" s="144"/>
    </row>
    <row r="441" spans="3:14" hidden="1">
      <c r="C441" s="815"/>
      <c r="D441" s="819"/>
      <c r="E441" s="360" t="s">
        <v>1489</v>
      </c>
      <c r="F441" s="632"/>
      <c r="G441" s="633"/>
      <c r="H441" s="633"/>
      <c r="I441" s="633"/>
      <c r="J441" s="633"/>
      <c r="K441" s="633"/>
      <c r="L441" s="633"/>
      <c r="M441" s="724"/>
      <c r="N441" s="144"/>
    </row>
    <row r="442" spans="3:14" ht="45" hidden="1" customHeight="1">
      <c r="C442" s="654" t="str">
        <f>IF($E432="No","Results of the consultation of airspace users' representatives", "Benefits for airspace users and results of the consultation of airspace users' representatives")</f>
        <v>Benefits for airspace users and results of the consultation of airspace users' representatives</v>
      </c>
      <c r="D442" s="655"/>
      <c r="E442" s="820"/>
      <c r="F442" s="809"/>
      <c r="G442" s="809"/>
      <c r="H442" s="809"/>
      <c r="I442" s="809"/>
      <c r="J442" s="809"/>
      <c r="K442" s="809"/>
      <c r="L442" s="809"/>
      <c r="M442" s="809"/>
      <c r="N442" s="144"/>
    </row>
    <row r="443" spans="3:14" hidden="1">
      <c r="C443" s="654" t="s">
        <v>996</v>
      </c>
      <c r="D443" s="655"/>
      <c r="E443" s="189" t="s">
        <v>240</v>
      </c>
      <c r="F443" s="806"/>
      <c r="G443" s="807"/>
      <c r="H443" s="807"/>
      <c r="I443" s="807"/>
      <c r="J443" s="807"/>
      <c r="K443" s="807"/>
      <c r="L443" s="807"/>
      <c r="M443" s="807"/>
      <c r="N443" s="144"/>
    </row>
    <row r="444" spans="3:14" hidden="1">
      <c r="C444" s="654" t="s">
        <v>326</v>
      </c>
      <c r="D444" s="655"/>
      <c r="E444" s="189" t="s">
        <v>240</v>
      </c>
      <c r="F444" s="806"/>
      <c r="G444" s="807"/>
      <c r="H444" s="807"/>
      <c r="I444" s="807"/>
      <c r="J444" s="807"/>
      <c r="K444" s="807"/>
      <c r="L444" s="807"/>
      <c r="M444" s="807"/>
      <c r="N444" s="144"/>
    </row>
    <row r="445" spans="3:14" ht="15" hidden="1" customHeight="1">
      <c r="C445" s="804" t="s">
        <v>997</v>
      </c>
      <c r="D445" s="805"/>
      <c r="E445" s="189" t="s">
        <v>240</v>
      </c>
      <c r="F445" s="806"/>
      <c r="G445" s="807"/>
      <c r="H445" s="807"/>
      <c r="I445" s="807"/>
      <c r="J445" s="807"/>
      <c r="K445" s="807"/>
      <c r="L445" s="807"/>
      <c r="M445" s="807"/>
      <c r="N445" s="144"/>
    </row>
    <row r="446" spans="3:14" ht="30" hidden="1" customHeight="1">
      <c r="C446" s="804" t="s">
        <v>327</v>
      </c>
      <c r="D446" s="805"/>
      <c r="E446" s="189" t="s">
        <v>240</v>
      </c>
      <c r="F446" s="806"/>
      <c r="G446" s="807"/>
      <c r="H446" s="807"/>
      <c r="I446" s="807"/>
      <c r="J446" s="807"/>
      <c r="K446" s="807"/>
      <c r="L446" s="807"/>
      <c r="M446" s="807"/>
      <c r="N446" s="144"/>
    </row>
    <row r="447" spans="3:14" ht="9" hidden="1" customHeight="1">
      <c r="C447" s="132"/>
      <c r="D447" s="132"/>
      <c r="E447" s="132"/>
      <c r="F447" s="132"/>
      <c r="G447" s="132"/>
      <c r="H447" s="132"/>
      <c r="I447" s="132"/>
      <c r="J447" s="132"/>
      <c r="K447" s="132"/>
      <c r="L447" s="132"/>
      <c r="M447" s="132"/>
    </row>
    <row r="448" spans="3:14" hidden="1"/>
    <row r="449" spans="1:14" hidden="1">
      <c r="A449" s="6" t="s">
        <v>693</v>
      </c>
      <c r="C449" s="798" t="s">
        <v>663</v>
      </c>
      <c r="D449" s="799"/>
      <c r="E449" s="800" t="str">
        <f>IF(C30="","",C30)</f>
        <v/>
      </c>
      <c r="F449" s="801"/>
      <c r="G449" s="801"/>
      <c r="H449" s="801"/>
      <c r="I449" s="801"/>
      <c r="J449" s="654" t="s">
        <v>322</v>
      </c>
      <c r="K449" s="655"/>
      <c r="L449" s="802">
        <f>D30</f>
        <v>0</v>
      </c>
      <c r="M449" s="803"/>
      <c r="N449" s="144"/>
    </row>
    <row r="450" spans="1:14" ht="45" hidden="1" customHeight="1">
      <c r="C450" s="654" t="s">
        <v>995</v>
      </c>
      <c r="D450" s="655"/>
      <c r="E450" s="808"/>
      <c r="F450" s="809"/>
      <c r="G450" s="809"/>
      <c r="H450" s="809"/>
      <c r="I450" s="809"/>
      <c r="J450" s="809"/>
      <c r="K450" s="809"/>
      <c r="L450" s="809"/>
      <c r="M450" s="809"/>
      <c r="N450" s="144"/>
    </row>
    <row r="451" spans="1:14" ht="60" hidden="1" customHeight="1">
      <c r="C451" s="810" t="str">
        <f>"The investment is mandated by a SES Regulation (i.e. PCP/CP1/Interoperability)?" &amp; IF($E451="yes"," Ref. to the Regulation and, if funded through Union assistance programmes, ref. to the relevant grant agreement.)","")</f>
        <v>The investment is mandated by a SES Regulation (i.e. PCP/CP1/Interoperability)?</v>
      </c>
      <c r="D451" s="811"/>
      <c r="E451" s="398" t="s">
        <v>240</v>
      </c>
      <c r="F451" s="632"/>
      <c r="G451" s="633"/>
      <c r="H451" s="633"/>
      <c r="I451" s="633"/>
      <c r="J451" s="633"/>
      <c r="K451" s="633"/>
      <c r="L451" s="633"/>
      <c r="M451" s="724"/>
      <c r="N451" s="144"/>
    </row>
    <row r="452" spans="1:14" ht="15" hidden="1" customHeight="1">
      <c r="C452" s="654" t="s">
        <v>1725</v>
      </c>
      <c r="D452" s="825"/>
      <c r="E452" s="417" t="s">
        <v>1550</v>
      </c>
      <c r="F452" s="417" t="s">
        <v>1551</v>
      </c>
      <c r="G452" s="417" t="s">
        <v>1552</v>
      </c>
      <c r="H452" s="417" t="s">
        <v>1553</v>
      </c>
      <c r="I452" s="417" t="s">
        <v>1554</v>
      </c>
      <c r="J452" s="417" t="s">
        <v>1555</v>
      </c>
      <c r="K452" s="417" t="s">
        <v>1556</v>
      </c>
      <c r="L452" s="821"/>
      <c r="M452" s="822"/>
      <c r="N452" s="144"/>
    </row>
    <row r="453" spans="1:14" ht="30" hidden="1" customHeight="1">
      <c r="C453" s="826"/>
      <c r="D453" s="827"/>
      <c r="E453" s="411"/>
      <c r="F453" s="411"/>
      <c r="G453" s="411"/>
      <c r="H453" s="411"/>
      <c r="I453" s="411"/>
      <c r="J453" s="411"/>
      <c r="K453" s="411"/>
      <c r="L453" s="823"/>
      <c r="M453" s="824"/>
      <c r="N453" s="144"/>
    </row>
    <row r="454" spans="1:14" ht="15" hidden="1" customHeight="1">
      <c r="C454" s="804" t="s">
        <v>1490</v>
      </c>
      <c r="D454" s="812"/>
      <c r="E454" s="399" t="s">
        <v>1484</v>
      </c>
      <c r="F454" s="632"/>
      <c r="G454" s="633"/>
      <c r="H454" s="633"/>
      <c r="I454" s="633"/>
      <c r="J454" s="633"/>
      <c r="K454" s="633"/>
      <c r="L454" s="633"/>
      <c r="M454" s="724"/>
      <c r="N454" s="144"/>
    </row>
    <row r="455" spans="1:14" hidden="1">
      <c r="C455" s="813"/>
      <c r="D455" s="814"/>
      <c r="E455" s="320" t="s">
        <v>1492</v>
      </c>
      <c r="F455" s="632"/>
      <c r="G455" s="633"/>
      <c r="H455" s="633"/>
      <c r="I455" s="633"/>
      <c r="J455" s="633"/>
      <c r="K455" s="633"/>
      <c r="L455" s="633"/>
      <c r="M455" s="724"/>
      <c r="N455" s="144"/>
    </row>
    <row r="456" spans="1:14" hidden="1">
      <c r="C456" s="815"/>
      <c r="D456" s="816"/>
      <c r="E456" s="400" t="s">
        <v>1485</v>
      </c>
      <c r="F456" s="632"/>
      <c r="G456" s="633"/>
      <c r="H456" s="633"/>
      <c r="I456" s="633"/>
      <c r="J456" s="633"/>
      <c r="K456" s="633"/>
      <c r="L456" s="633"/>
      <c r="M456" s="724"/>
      <c r="N456" s="144"/>
    </row>
    <row r="457" spans="1:14" hidden="1">
      <c r="C457" s="804" t="s">
        <v>1491</v>
      </c>
      <c r="D457" s="817"/>
      <c r="E457" s="360" t="s">
        <v>1486</v>
      </c>
      <c r="F457" s="632"/>
      <c r="G457" s="633"/>
      <c r="H457" s="633"/>
      <c r="I457" s="633"/>
      <c r="J457" s="633"/>
      <c r="K457" s="633"/>
      <c r="L457" s="633"/>
      <c r="M457" s="724"/>
      <c r="N457" s="144"/>
    </row>
    <row r="458" spans="1:14" hidden="1">
      <c r="C458" s="813"/>
      <c r="D458" s="818"/>
      <c r="E458" s="360" t="s">
        <v>1487</v>
      </c>
      <c r="F458" s="632"/>
      <c r="G458" s="633"/>
      <c r="H458" s="633"/>
      <c r="I458" s="633"/>
      <c r="J458" s="633"/>
      <c r="K458" s="633"/>
      <c r="L458" s="633"/>
      <c r="M458" s="724"/>
      <c r="N458" s="144"/>
    </row>
    <row r="459" spans="1:14" hidden="1">
      <c r="C459" s="813"/>
      <c r="D459" s="818"/>
      <c r="E459" s="360" t="s">
        <v>1488</v>
      </c>
      <c r="F459" s="632"/>
      <c r="G459" s="633"/>
      <c r="H459" s="633"/>
      <c r="I459" s="633"/>
      <c r="J459" s="633"/>
      <c r="K459" s="633"/>
      <c r="L459" s="633"/>
      <c r="M459" s="724"/>
      <c r="N459" s="144"/>
    </row>
    <row r="460" spans="1:14" hidden="1">
      <c r="C460" s="815"/>
      <c r="D460" s="819"/>
      <c r="E460" s="360" t="s">
        <v>1489</v>
      </c>
      <c r="F460" s="632"/>
      <c r="G460" s="633"/>
      <c r="H460" s="633"/>
      <c r="I460" s="633"/>
      <c r="J460" s="633"/>
      <c r="K460" s="633"/>
      <c r="L460" s="633"/>
      <c r="M460" s="724"/>
      <c r="N460" s="144"/>
    </row>
    <row r="461" spans="1:14" ht="45" hidden="1" customHeight="1">
      <c r="C461" s="654" t="str">
        <f>IF($E451="No","Results of the consultation of airspace users' representatives", "Benefits for airspace users and results of the consultation of airspace users' representatives")</f>
        <v>Benefits for airspace users and results of the consultation of airspace users' representatives</v>
      </c>
      <c r="D461" s="655"/>
      <c r="E461" s="820"/>
      <c r="F461" s="809"/>
      <c r="G461" s="809"/>
      <c r="H461" s="809"/>
      <c r="I461" s="809"/>
      <c r="J461" s="809"/>
      <c r="K461" s="809"/>
      <c r="L461" s="809"/>
      <c r="M461" s="809"/>
      <c r="N461" s="144"/>
    </row>
    <row r="462" spans="1:14" hidden="1">
      <c r="C462" s="654" t="s">
        <v>996</v>
      </c>
      <c r="D462" s="655"/>
      <c r="E462" s="189" t="s">
        <v>240</v>
      </c>
      <c r="F462" s="806"/>
      <c r="G462" s="807"/>
      <c r="H462" s="807"/>
      <c r="I462" s="807"/>
      <c r="J462" s="807"/>
      <c r="K462" s="807"/>
      <c r="L462" s="807"/>
      <c r="M462" s="807"/>
      <c r="N462" s="144"/>
    </row>
    <row r="463" spans="1:14" hidden="1">
      <c r="C463" s="654" t="s">
        <v>326</v>
      </c>
      <c r="D463" s="655"/>
      <c r="E463" s="189" t="s">
        <v>240</v>
      </c>
      <c r="F463" s="806"/>
      <c r="G463" s="807"/>
      <c r="H463" s="807"/>
      <c r="I463" s="807"/>
      <c r="J463" s="807"/>
      <c r="K463" s="807"/>
      <c r="L463" s="807"/>
      <c r="M463" s="807"/>
      <c r="N463" s="144"/>
    </row>
    <row r="464" spans="1:14" ht="15" hidden="1" customHeight="1">
      <c r="C464" s="804" t="s">
        <v>997</v>
      </c>
      <c r="D464" s="805"/>
      <c r="E464" s="189" t="s">
        <v>240</v>
      </c>
      <c r="F464" s="806"/>
      <c r="G464" s="807"/>
      <c r="H464" s="807"/>
      <c r="I464" s="807"/>
      <c r="J464" s="807"/>
      <c r="K464" s="807"/>
      <c r="L464" s="807"/>
      <c r="M464" s="807"/>
      <c r="N464" s="144"/>
    </row>
    <row r="465" spans="1:14" ht="30" hidden="1" customHeight="1">
      <c r="C465" s="804" t="s">
        <v>327</v>
      </c>
      <c r="D465" s="805"/>
      <c r="E465" s="189" t="s">
        <v>240</v>
      </c>
      <c r="F465" s="806"/>
      <c r="G465" s="807"/>
      <c r="H465" s="807"/>
      <c r="I465" s="807"/>
      <c r="J465" s="807"/>
      <c r="K465" s="807"/>
      <c r="L465" s="807"/>
      <c r="M465" s="807"/>
      <c r="N465" s="144"/>
    </row>
    <row r="466" spans="1:14" ht="9" hidden="1" customHeight="1">
      <c r="C466" s="132"/>
      <c r="D466" s="132"/>
      <c r="E466" s="132"/>
      <c r="F466" s="132"/>
      <c r="G466" s="132"/>
      <c r="H466" s="132"/>
      <c r="I466" s="132"/>
      <c r="J466" s="132"/>
      <c r="K466" s="132"/>
      <c r="L466" s="132"/>
      <c r="M466" s="132"/>
    </row>
    <row r="467" spans="1:14" hidden="1"/>
    <row r="468" spans="1:14" hidden="1">
      <c r="A468" s="6" t="s">
        <v>693</v>
      </c>
      <c r="C468" s="798" t="s">
        <v>664</v>
      </c>
      <c r="D468" s="799"/>
      <c r="E468" s="800" t="str">
        <f>IF(C31="","",C31)</f>
        <v/>
      </c>
      <c r="F468" s="801"/>
      <c r="G468" s="801"/>
      <c r="H468" s="801"/>
      <c r="I468" s="801"/>
      <c r="J468" s="654" t="s">
        <v>322</v>
      </c>
      <c r="K468" s="655"/>
      <c r="L468" s="802">
        <f>D31</f>
        <v>0</v>
      </c>
      <c r="M468" s="803"/>
      <c r="N468" s="144"/>
    </row>
    <row r="469" spans="1:14" ht="45" hidden="1" customHeight="1">
      <c r="C469" s="654" t="s">
        <v>995</v>
      </c>
      <c r="D469" s="655"/>
      <c r="E469" s="808"/>
      <c r="F469" s="809"/>
      <c r="G469" s="809"/>
      <c r="H469" s="809"/>
      <c r="I469" s="809"/>
      <c r="J469" s="809"/>
      <c r="K469" s="809"/>
      <c r="L469" s="809"/>
      <c r="M469" s="809"/>
      <c r="N469" s="144"/>
    </row>
    <row r="470" spans="1:14" ht="60" hidden="1" customHeight="1">
      <c r="C470" s="810" t="str">
        <f>"The investment is mandated by a SES Regulation (i.e. PCP/CP1/Interoperability)?" &amp; IF($E470="yes"," Ref. to the Regulation and, if funded through Union assistance programmes, ref. to the relevant grant agreement.)","")</f>
        <v>The investment is mandated by a SES Regulation (i.e. PCP/CP1/Interoperability)?</v>
      </c>
      <c r="D470" s="811"/>
      <c r="E470" s="398" t="s">
        <v>240</v>
      </c>
      <c r="F470" s="632"/>
      <c r="G470" s="633"/>
      <c r="H470" s="633"/>
      <c r="I470" s="633"/>
      <c r="J470" s="633"/>
      <c r="K470" s="633"/>
      <c r="L470" s="633"/>
      <c r="M470" s="724"/>
      <c r="N470" s="144"/>
    </row>
    <row r="471" spans="1:14" ht="15" hidden="1" customHeight="1">
      <c r="C471" s="654" t="s">
        <v>1725</v>
      </c>
      <c r="D471" s="825"/>
      <c r="E471" s="417" t="s">
        <v>1550</v>
      </c>
      <c r="F471" s="417" t="s">
        <v>1551</v>
      </c>
      <c r="G471" s="417" t="s">
        <v>1552</v>
      </c>
      <c r="H471" s="417" t="s">
        <v>1553</v>
      </c>
      <c r="I471" s="417" t="s">
        <v>1554</v>
      </c>
      <c r="J471" s="417" t="s">
        <v>1555</v>
      </c>
      <c r="K471" s="417" t="s">
        <v>1556</v>
      </c>
      <c r="L471" s="821"/>
      <c r="M471" s="822"/>
      <c r="N471" s="144"/>
    </row>
    <row r="472" spans="1:14" ht="30" hidden="1" customHeight="1">
      <c r="C472" s="826"/>
      <c r="D472" s="827"/>
      <c r="E472" s="411"/>
      <c r="F472" s="411"/>
      <c r="G472" s="411"/>
      <c r="H472" s="411"/>
      <c r="I472" s="411"/>
      <c r="J472" s="411"/>
      <c r="K472" s="411"/>
      <c r="L472" s="823"/>
      <c r="M472" s="824"/>
      <c r="N472" s="144"/>
    </row>
    <row r="473" spans="1:14" ht="15" hidden="1" customHeight="1">
      <c r="C473" s="804" t="s">
        <v>1490</v>
      </c>
      <c r="D473" s="812"/>
      <c r="E473" s="399" t="s">
        <v>1484</v>
      </c>
      <c r="F473" s="632"/>
      <c r="G473" s="633"/>
      <c r="H473" s="633"/>
      <c r="I473" s="633"/>
      <c r="J473" s="633"/>
      <c r="K473" s="633"/>
      <c r="L473" s="633"/>
      <c r="M473" s="724"/>
      <c r="N473" s="144"/>
    </row>
    <row r="474" spans="1:14" hidden="1">
      <c r="C474" s="813"/>
      <c r="D474" s="814"/>
      <c r="E474" s="320" t="s">
        <v>1492</v>
      </c>
      <c r="F474" s="632"/>
      <c r="G474" s="633"/>
      <c r="H474" s="633"/>
      <c r="I474" s="633"/>
      <c r="J474" s="633"/>
      <c r="K474" s="633"/>
      <c r="L474" s="633"/>
      <c r="M474" s="724"/>
      <c r="N474" s="144"/>
    </row>
    <row r="475" spans="1:14" hidden="1">
      <c r="C475" s="815"/>
      <c r="D475" s="816"/>
      <c r="E475" s="400" t="s">
        <v>1485</v>
      </c>
      <c r="F475" s="632"/>
      <c r="G475" s="633"/>
      <c r="H475" s="633"/>
      <c r="I475" s="633"/>
      <c r="J475" s="633"/>
      <c r="K475" s="633"/>
      <c r="L475" s="633"/>
      <c r="M475" s="724"/>
      <c r="N475" s="144"/>
    </row>
    <row r="476" spans="1:14" hidden="1">
      <c r="C476" s="804" t="s">
        <v>1491</v>
      </c>
      <c r="D476" s="817"/>
      <c r="E476" s="360" t="s">
        <v>1486</v>
      </c>
      <c r="F476" s="632"/>
      <c r="G476" s="633"/>
      <c r="H476" s="633"/>
      <c r="I476" s="633"/>
      <c r="J476" s="633"/>
      <c r="K476" s="633"/>
      <c r="L476" s="633"/>
      <c r="M476" s="724"/>
      <c r="N476" s="144"/>
    </row>
    <row r="477" spans="1:14" hidden="1">
      <c r="C477" s="813"/>
      <c r="D477" s="818"/>
      <c r="E477" s="360" t="s">
        <v>1487</v>
      </c>
      <c r="F477" s="632"/>
      <c r="G477" s="633"/>
      <c r="H477" s="633"/>
      <c r="I477" s="633"/>
      <c r="J477" s="633"/>
      <c r="K477" s="633"/>
      <c r="L477" s="633"/>
      <c r="M477" s="724"/>
      <c r="N477" s="144"/>
    </row>
    <row r="478" spans="1:14" hidden="1">
      <c r="C478" s="813"/>
      <c r="D478" s="818"/>
      <c r="E478" s="360" t="s">
        <v>1488</v>
      </c>
      <c r="F478" s="632"/>
      <c r="G478" s="633"/>
      <c r="H478" s="633"/>
      <c r="I478" s="633"/>
      <c r="J478" s="633"/>
      <c r="K478" s="633"/>
      <c r="L478" s="633"/>
      <c r="M478" s="724"/>
      <c r="N478" s="144"/>
    </row>
    <row r="479" spans="1:14" hidden="1">
      <c r="C479" s="815"/>
      <c r="D479" s="819"/>
      <c r="E479" s="360" t="s">
        <v>1489</v>
      </c>
      <c r="F479" s="632"/>
      <c r="G479" s="633"/>
      <c r="H479" s="633"/>
      <c r="I479" s="633"/>
      <c r="J479" s="633"/>
      <c r="K479" s="633"/>
      <c r="L479" s="633"/>
      <c r="M479" s="724"/>
      <c r="N479" s="144"/>
    </row>
    <row r="480" spans="1:14" ht="45" hidden="1" customHeight="1">
      <c r="C480" s="654" t="str">
        <f>IF($E470="No","Results of the consultation of airspace users' representatives", "Benefits for airspace users and results of the consultation of airspace users' representatives")</f>
        <v>Benefits for airspace users and results of the consultation of airspace users' representatives</v>
      </c>
      <c r="D480" s="655"/>
      <c r="E480" s="820"/>
      <c r="F480" s="809"/>
      <c r="G480" s="809"/>
      <c r="H480" s="809"/>
      <c r="I480" s="809"/>
      <c r="J480" s="809"/>
      <c r="K480" s="809"/>
      <c r="L480" s="809"/>
      <c r="M480" s="809"/>
      <c r="N480" s="144"/>
    </row>
    <row r="481" spans="1:14" hidden="1">
      <c r="C481" s="654" t="s">
        <v>996</v>
      </c>
      <c r="D481" s="655"/>
      <c r="E481" s="189" t="s">
        <v>240</v>
      </c>
      <c r="F481" s="806"/>
      <c r="G481" s="807"/>
      <c r="H481" s="807"/>
      <c r="I481" s="807"/>
      <c r="J481" s="807"/>
      <c r="K481" s="807"/>
      <c r="L481" s="807"/>
      <c r="M481" s="807"/>
      <c r="N481" s="144"/>
    </row>
    <row r="482" spans="1:14" hidden="1">
      <c r="C482" s="654" t="s">
        <v>326</v>
      </c>
      <c r="D482" s="655"/>
      <c r="E482" s="189" t="s">
        <v>240</v>
      </c>
      <c r="F482" s="806"/>
      <c r="G482" s="807"/>
      <c r="H482" s="807"/>
      <c r="I482" s="807"/>
      <c r="J482" s="807"/>
      <c r="K482" s="807"/>
      <c r="L482" s="807"/>
      <c r="M482" s="807"/>
      <c r="N482" s="144"/>
    </row>
    <row r="483" spans="1:14" ht="15" hidden="1" customHeight="1">
      <c r="C483" s="804" t="s">
        <v>997</v>
      </c>
      <c r="D483" s="805"/>
      <c r="E483" s="189" t="s">
        <v>240</v>
      </c>
      <c r="F483" s="806"/>
      <c r="G483" s="807"/>
      <c r="H483" s="807"/>
      <c r="I483" s="807"/>
      <c r="J483" s="807"/>
      <c r="K483" s="807"/>
      <c r="L483" s="807"/>
      <c r="M483" s="807"/>
      <c r="N483" s="144"/>
    </row>
    <row r="484" spans="1:14" ht="30" hidden="1" customHeight="1">
      <c r="C484" s="804" t="s">
        <v>327</v>
      </c>
      <c r="D484" s="805"/>
      <c r="E484" s="189" t="s">
        <v>240</v>
      </c>
      <c r="F484" s="806"/>
      <c r="G484" s="807"/>
      <c r="H484" s="807"/>
      <c r="I484" s="807"/>
      <c r="J484" s="807"/>
      <c r="K484" s="807"/>
      <c r="L484" s="807"/>
      <c r="M484" s="807"/>
      <c r="N484" s="144"/>
    </row>
    <row r="485" spans="1:14" ht="9" hidden="1" customHeight="1">
      <c r="C485" s="132"/>
      <c r="D485" s="132"/>
      <c r="E485" s="132"/>
      <c r="F485" s="132"/>
      <c r="G485" s="132"/>
      <c r="H485" s="132"/>
      <c r="I485" s="132"/>
      <c r="J485" s="132"/>
      <c r="K485" s="132"/>
      <c r="L485" s="132"/>
      <c r="M485" s="132"/>
    </row>
    <row r="486" spans="1:14" hidden="1"/>
    <row r="487" spans="1:14" hidden="1">
      <c r="A487" s="6" t="s">
        <v>693</v>
      </c>
      <c r="C487" s="798" t="s">
        <v>665</v>
      </c>
      <c r="D487" s="799"/>
      <c r="E487" s="800" t="str">
        <f>IF(C32="","",C32)</f>
        <v/>
      </c>
      <c r="F487" s="801"/>
      <c r="G487" s="801"/>
      <c r="H487" s="801"/>
      <c r="I487" s="801"/>
      <c r="J487" s="654" t="s">
        <v>322</v>
      </c>
      <c r="K487" s="655"/>
      <c r="L487" s="802">
        <f>D32</f>
        <v>0</v>
      </c>
      <c r="M487" s="803"/>
      <c r="N487" s="144"/>
    </row>
    <row r="488" spans="1:14" ht="45" hidden="1" customHeight="1">
      <c r="C488" s="654" t="s">
        <v>995</v>
      </c>
      <c r="D488" s="655"/>
      <c r="E488" s="808"/>
      <c r="F488" s="809"/>
      <c r="G488" s="809"/>
      <c r="H488" s="809"/>
      <c r="I488" s="809"/>
      <c r="J488" s="809"/>
      <c r="K488" s="809"/>
      <c r="L488" s="809"/>
      <c r="M488" s="809"/>
      <c r="N488" s="144"/>
    </row>
    <row r="489" spans="1:14" ht="60" hidden="1" customHeight="1">
      <c r="C489" s="810" t="str">
        <f>"The investment is mandated by a SES Regulation (i.e. PCP/CP1/Interoperability)?" &amp; IF($E489="yes"," Ref. to the Regulation and, if funded through Union assistance programmes, ref. to the relevant grant agreement.)","")</f>
        <v>The investment is mandated by a SES Regulation (i.e. PCP/CP1/Interoperability)?</v>
      </c>
      <c r="D489" s="811"/>
      <c r="E489" s="398" t="s">
        <v>240</v>
      </c>
      <c r="F489" s="632"/>
      <c r="G489" s="633"/>
      <c r="H489" s="633"/>
      <c r="I489" s="633"/>
      <c r="J489" s="633"/>
      <c r="K489" s="633"/>
      <c r="L489" s="633"/>
      <c r="M489" s="724"/>
      <c r="N489" s="144"/>
    </row>
    <row r="490" spans="1:14" ht="15" hidden="1" customHeight="1">
      <c r="C490" s="654" t="s">
        <v>1725</v>
      </c>
      <c r="D490" s="825"/>
      <c r="E490" s="417" t="s">
        <v>1550</v>
      </c>
      <c r="F490" s="417" t="s">
        <v>1551</v>
      </c>
      <c r="G490" s="417" t="s">
        <v>1552</v>
      </c>
      <c r="H490" s="417" t="s">
        <v>1553</v>
      </c>
      <c r="I490" s="417" t="s">
        <v>1554</v>
      </c>
      <c r="J490" s="417" t="s">
        <v>1555</v>
      </c>
      <c r="K490" s="417" t="s">
        <v>1556</v>
      </c>
      <c r="L490" s="821"/>
      <c r="M490" s="822"/>
      <c r="N490" s="144"/>
    </row>
    <row r="491" spans="1:14" ht="30" hidden="1" customHeight="1">
      <c r="C491" s="826"/>
      <c r="D491" s="827"/>
      <c r="E491" s="411"/>
      <c r="F491" s="411"/>
      <c r="G491" s="411"/>
      <c r="H491" s="411"/>
      <c r="I491" s="411"/>
      <c r="J491" s="411"/>
      <c r="K491" s="411"/>
      <c r="L491" s="823"/>
      <c r="M491" s="824"/>
      <c r="N491" s="144"/>
    </row>
    <row r="492" spans="1:14" ht="15" hidden="1" customHeight="1">
      <c r="C492" s="804" t="s">
        <v>1490</v>
      </c>
      <c r="D492" s="812"/>
      <c r="E492" s="399" t="s">
        <v>1484</v>
      </c>
      <c r="F492" s="632"/>
      <c r="G492" s="633"/>
      <c r="H492" s="633"/>
      <c r="I492" s="633"/>
      <c r="J492" s="633"/>
      <c r="K492" s="633"/>
      <c r="L492" s="633"/>
      <c r="M492" s="724"/>
      <c r="N492" s="144"/>
    </row>
    <row r="493" spans="1:14" hidden="1">
      <c r="C493" s="813"/>
      <c r="D493" s="814"/>
      <c r="E493" s="320" t="s">
        <v>1492</v>
      </c>
      <c r="F493" s="632"/>
      <c r="G493" s="633"/>
      <c r="H493" s="633"/>
      <c r="I493" s="633"/>
      <c r="J493" s="633"/>
      <c r="K493" s="633"/>
      <c r="L493" s="633"/>
      <c r="M493" s="724"/>
      <c r="N493" s="144"/>
    </row>
    <row r="494" spans="1:14" hidden="1">
      <c r="C494" s="815"/>
      <c r="D494" s="816"/>
      <c r="E494" s="400" t="s">
        <v>1485</v>
      </c>
      <c r="F494" s="632"/>
      <c r="G494" s="633"/>
      <c r="H494" s="633"/>
      <c r="I494" s="633"/>
      <c r="J494" s="633"/>
      <c r="K494" s="633"/>
      <c r="L494" s="633"/>
      <c r="M494" s="724"/>
      <c r="N494" s="144"/>
    </row>
    <row r="495" spans="1:14" hidden="1">
      <c r="C495" s="804" t="s">
        <v>1491</v>
      </c>
      <c r="D495" s="817"/>
      <c r="E495" s="360" t="s">
        <v>1486</v>
      </c>
      <c r="F495" s="632"/>
      <c r="G495" s="633"/>
      <c r="H495" s="633"/>
      <c r="I495" s="633"/>
      <c r="J495" s="633"/>
      <c r="K495" s="633"/>
      <c r="L495" s="633"/>
      <c r="M495" s="724"/>
      <c r="N495" s="144"/>
    </row>
    <row r="496" spans="1:14" hidden="1">
      <c r="C496" s="813"/>
      <c r="D496" s="818"/>
      <c r="E496" s="360" t="s">
        <v>1487</v>
      </c>
      <c r="F496" s="632"/>
      <c r="G496" s="633"/>
      <c r="H496" s="633"/>
      <c r="I496" s="633"/>
      <c r="J496" s="633"/>
      <c r="K496" s="633"/>
      <c r="L496" s="633"/>
      <c r="M496" s="724"/>
      <c r="N496" s="144"/>
    </row>
    <row r="497" spans="1:14" hidden="1">
      <c r="C497" s="813"/>
      <c r="D497" s="818"/>
      <c r="E497" s="360" t="s">
        <v>1488</v>
      </c>
      <c r="F497" s="632"/>
      <c r="G497" s="633"/>
      <c r="H497" s="633"/>
      <c r="I497" s="633"/>
      <c r="J497" s="633"/>
      <c r="K497" s="633"/>
      <c r="L497" s="633"/>
      <c r="M497" s="724"/>
      <c r="N497" s="144"/>
    </row>
    <row r="498" spans="1:14" hidden="1">
      <c r="C498" s="815"/>
      <c r="D498" s="819"/>
      <c r="E498" s="360" t="s">
        <v>1489</v>
      </c>
      <c r="F498" s="632"/>
      <c r="G498" s="633"/>
      <c r="H498" s="633"/>
      <c r="I498" s="633"/>
      <c r="J498" s="633"/>
      <c r="K498" s="633"/>
      <c r="L498" s="633"/>
      <c r="M498" s="724"/>
      <c r="N498" s="144"/>
    </row>
    <row r="499" spans="1:14" ht="45" hidden="1" customHeight="1">
      <c r="C499" s="654" t="str">
        <f>IF($E489="No","Results of the consultation of airspace users' representatives", "Benefits for airspace users and results of the consultation of airspace users' representatives")</f>
        <v>Benefits for airspace users and results of the consultation of airspace users' representatives</v>
      </c>
      <c r="D499" s="655"/>
      <c r="E499" s="820"/>
      <c r="F499" s="809"/>
      <c r="G499" s="809"/>
      <c r="H499" s="809"/>
      <c r="I499" s="809"/>
      <c r="J499" s="809"/>
      <c r="K499" s="809"/>
      <c r="L499" s="809"/>
      <c r="M499" s="809"/>
      <c r="N499" s="144"/>
    </row>
    <row r="500" spans="1:14" hidden="1">
      <c r="C500" s="654" t="s">
        <v>996</v>
      </c>
      <c r="D500" s="655"/>
      <c r="E500" s="189" t="s">
        <v>240</v>
      </c>
      <c r="F500" s="806"/>
      <c r="G500" s="807"/>
      <c r="H500" s="807"/>
      <c r="I500" s="807"/>
      <c r="J500" s="807"/>
      <c r="K500" s="807"/>
      <c r="L500" s="807"/>
      <c r="M500" s="807"/>
      <c r="N500" s="144"/>
    </row>
    <row r="501" spans="1:14" hidden="1">
      <c r="C501" s="654" t="s">
        <v>326</v>
      </c>
      <c r="D501" s="655"/>
      <c r="E501" s="189" t="s">
        <v>240</v>
      </c>
      <c r="F501" s="806"/>
      <c r="G501" s="807"/>
      <c r="H501" s="807"/>
      <c r="I501" s="807"/>
      <c r="J501" s="807"/>
      <c r="K501" s="807"/>
      <c r="L501" s="807"/>
      <c r="M501" s="807"/>
      <c r="N501" s="144"/>
    </row>
    <row r="502" spans="1:14" ht="15" hidden="1" customHeight="1">
      <c r="C502" s="804" t="s">
        <v>997</v>
      </c>
      <c r="D502" s="805"/>
      <c r="E502" s="189" t="s">
        <v>240</v>
      </c>
      <c r="F502" s="806"/>
      <c r="G502" s="807"/>
      <c r="H502" s="807"/>
      <c r="I502" s="807"/>
      <c r="J502" s="807"/>
      <c r="K502" s="807"/>
      <c r="L502" s="807"/>
      <c r="M502" s="807"/>
      <c r="N502" s="144"/>
    </row>
    <row r="503" spans="1:14" ht="30" hidden="1" customHeight="1">
      <c r="C503" s="804" t="s">
        <v>327</v>
      </c>
      <c r="D503" s="805"/>
      <c r="E503" s="189" t="s">
        <v>240</v>
      </c>
      <c r="F503" s="806"/>
      <c r="G503" s="807"/>
      <c r="H503" s="807"/>
      <c r="I503" s="807"/>
      <c r="J503" s="807"/>
      <c r="K503" s="807"/>
      <c r="L503" s="807"/>
      <c r="M503" s="807"/>
      <c r="N503" s="144"/>
    </row>
    <row r="504" spans="1:14" ht="9" hidden="1" customHeight="1">
      <c r="C504" s="132"/>
      <c r="D504" s="132"/>
      <c r="E504" s="132"/>
      <c r="F504" s="132"/>
      <c r="G504" s="132"/>
      <c r="H504" s="132"/>
      <c r="I504" s="132"/>
      <c r="J504" s="132"/>
      <c r="K504" s="132"/>
      <c r="L504" s="132"/>
      <c r="M504" s="132"/>
    </row>
    <row r="505" spans="1:14" hidden="1"/>
    <row r="506" spans="1:14" hidden="1">
      <c r="A506" s="6" t="s">
        <v>693</v>
      </c>
      <c r="C506" s="798" t="s">
        <v>666</v>
      </c>
      <c r="D506" s="799"/>
      <c r="E506" s="800" t="str">
        <f>IF(C33="","",C33)</f>
        <v/>
      </c>
      <c r="F506" s="801"/>
      <c r="G506" s="801"/>
      <c r="H506" s="801"/>
      <c r="I506" s="801"/>
      <c r="J506" s="654" t="s">
        <v>322</v>
      </c>
      <c r="K506" s="655"/>
      <c r="L506" s="802">
        <f>D33</f>
        <v>0</v>
      </c>
      <c r="M506" s="803"/>
      <c r="N506" s="144"/>
    </row>
    <row r="507" spans="1:14" ht="45" hidden="1" customHeight="1">
      <c r="C507" s="654" t="s">
        <v>995</v>
      </c>
      <c r="D507" s="655"/>
      <c r="E507" s="808"/>
      <c r="F507" s="809"/>
      <c r="G507" s="809"/>
      <c r="H507" s="809"/>
      <c r="I507" s="809"/>
      <c r="J507" s="809"/>
      <c r="K507" s="809"/>
      <c r="L507" s="809"/>
      <c r="M507" s="809"/>
      <c r="N507" s="144"/>
    </row>
    <row r="508" spans="1:14" ht="60" hidden="1" customHeight="1">
      <c r="C508" s="810" t="str">
        <f>"The investment is mandated by a SES Regulation (i.e. PCP/CP1/Interoperability)?" &amp; IF($E508="yes"," Ref. to the Regulation and, if funded through Union assistance programmes, ref. to the relevant grant agreement.)","")</f>
        <v>The investment is mandated by a SES Regulation (i.e. PCP/CP1/Interoperability)?</v>
      </c>
      <c r="D508" s="811"/>
      <c r="E508" s="398" t="s">
        <v>240</v>
      </c>
      <c r="F508" s="632"/>
      <c r="G508" s="633"/>
      <c r="H508" s="633"/>
      <c r="I508" s="633"/>
      <c r="J508" s="633"/>
      <c r="K508" s="633"/>
      <c r="L508" s="633"/>
      <c r="M508" s="724"/>
      <c r="N508" s="144"/>
    </row>
    <row r="509" spans="1:14" ht="15" hidden="1" customHeight="1">
      <c r="C509" s="654" t="s">
        <v>1725</v>
      </c>
      <c r="D509" s="825"/>
      <c r="E509" s="417" t="s">
        <v>1550</v>
      </c>
      <c r="F509" s="417" t="s">
        <v>1551</v>
      </c>
      <c r="G509" s="417" t="s">
        <v>1552</v>
      </c>
      <c r="H509" s="417" t="s">
        <v>1553</v>
      </c>
      <c r="I509" s="417" t="s">
        <v>1554</v>
      </c>
      <c r="J509" s="417" t="s">
        <v>1555</v>
      </c>
      <c r="K509" s="417" t="s">
        <v>1556</v>
      </c>
      <c r="L509" s="821"/>
      <c r="M509" s="822"/>
      <c r="N509" s="144"/>
    </row>
    <row r="510" spans="1:14" ht="30" hidden="1" customHeight="1">
      <c r="C510" s="826"/>
      <c r="D510" s="827"/>
      <c r="E510" s="411"/>
      <c r="F510" s="411"/>
      <c r="G510" s="411"/>
      <c r="H510" s="411"/>
      <c r="I510" s="411"/>
      <c r="J510" s="411"/>
      <c r="K510" s="411"/>
      <c r="L510" s="823"/>
      <c r="M510" s="824"/>
      <c r="N510" s="144"/>
    </row>
    <row r="511" spans="1:14" ht="15" hidden="1" customHeight="1">
      <c r="C511" s="804" t="s">
        <v>1490</v>
      </c>
      <c r="D511" s="812"/>
      <c r="E511" s="399" t="s">
        <v>1484</v>
      </c>
      <c r="F511" s="632"/>
      <c r="G511" s="633"/>
      <c r="H511" s="633"/>
      <c r="I511" s="633"/>
      <c r="J511" s="633"/>
      <c r="K511" s="633"/>
      <c r="L511" s="633"/>
      <c r="M511" s="724"/>
      <c r="N511" s="144"/>
    </row>
    <row r="512" spans="1:14" hidden="1">
      <c r="C512" s="813"/>
      <c r="D512" s="814"/>
      <c r="E512" s="320" t="s">
        <v>1492</v>
      </c>
      <c r="F512" s="632"/>
      <c r="G512" s="633"/>
      <c r="H512" s="633"/>
      <c r="I512" s="633"/>
      <c r="J512" s="633"/>
      <c r="K512" s="633"/>
      <c r="L512" s="633"/>
      <c r="M512" s="724"/>
      <c r="N512" s="144"/>
    </row>
    <row r="513" spans="1:14" hidden="1">
      <c r="C513" s="815"/>
      <c r="D513" s="816"/>
      <c r="E513" s="400" t="s">
        <v>1485</v>
      </c>
      <c r="F513" s="632"/>
      <c r="G513" s="633"/>
      <c r="H513" s="633"/>
      <c r="I513" s="633"/>
      <c r="J513" s="633"/>
      <c r="K513" s="633"/>
      <c r="L513" s="633"/>
      <c r="M513" s="724"/>
      <c r="N513" s="144"/>
    </row>
    <row r="514" spans="1:14" hidden="1">
      <c r="C514" s="804" t="s">
        <v>1491</v>
      </c>
      <c r="D514" s="817"/>
      <c r="E514" s="360" t="s">
        <v>1486</v>
      </c>
      <c r="F514" s="632"/>
      <c r="G514" s="633"/>
      <c r="H514" s="633"/>
      <c r="I514" s="633"/>
      <c r="J514" s="633"/>
      <c r="K514" s="633"/>
      <c r="L514" s="633"/>
      <c r="M514" s="724"/>
      <c r="N514" s="144"/>
    </row>
    <row r="515" spans="1:14" hidden="1">
      <c r="C515" s="813"/>
      <c r="D515" s="818"/>
      <c r="E515" s="360" t="s">
        <v>1487</v>
      </c>
      <c r="F515" s="632"/>
      <c r="G515" s="633"/>
      <c r="H515" s="633"/>
      <c r="I515" s="633"/>
      <c r="J515" s="633"/>
      <c r="K515" s="633"/>
      <c r="L515" s="633"/>
      <c r="M515" s="724"/>
      <c r="N515" s="144"/>
    </row>
    <row r="516" spans="1:14" hidden="1">
      <c r="C516" s="813"/>
      <c r="D516" s="818"/>
      <c r="E516" s="360" t="s">
        <v>1488</v>
      </c>
      <c r="F516" s="632"/>
      <c r="G516" s="633"/>
      <c r="H516" s="633"/>
      <c r="I516" s="633"/>
      <c r="J516" s="633"/>
      <c r="K516" s="633"/>
      <c r="L516" s="633"/>
      <c r="M516" s="724"/>
      <c r="N516" s="144"/>
    </row>
    <row r="517" spans="1:14" hidden="1">
      <c r="C517" s="815"/>
      <c r="D517" s="819"/>
      <c r="E517" s="360" t="s">
        <v>1489</v>
      </c>
      <c r="F517" s="632"/>
      <c r="G517" s="633"/>
      <c r="H517" s="633"/>
      <c r="I517" s="633"/>
      <c r="J517" s="633"/>
      <c r="K517" s="633"/>
      <c r="L517" s="633"/>
      <c r="M517" s="724"/>
      <c r="N517" s="144"/>
    </row>
    <row r="518" spans="1:14" ht="45" hidden="1" customHeight="1">
      <c r="C518" s="654" t="str">
        <f>IF($E508="No","Results of the consultation of airspace users' representatives", "Benefits for airspace users and results of the consultation of airspace users' representatives")</f>
        <v>Benefits for airspace users and results of the consultation of airspace users' representatives</v>
      </c>
      <c r="D518" s="655"/>
      <c r="E518" s="820"/>
      <c r="F518" s="809"/>
      <c r="G518" s="809"/>
      <c r="H518" s="809"/>
      <c r="I518" s="809"/>
      <c r="J518" s="809"/>
      <c r="K518" s="809"/>
      <c r="L518" s="809"/>
      <c r="M518" s="809"/>
      <c r="N518" s="144"/>
    </row>
    <row r="519" spans="1:14" hidden="1">
      <c r="C519" s="654" t="s">
        <v>996</v>
      </c>
      <c r="D519" s="655"/>
      <c r="E519" s="189" t="s">
        <v>240</v>
      </c>
      <c r="F519" s="806"/>
      <c r="G519" s="807"/>
      <c r="H519" s="807"/>
      <c r="I519" s="807"/>
      <c r="J519" s="807"/>
      <c r="K519" s="807"/>
      <c r="L519" s="807"/>
      <c r="M519" s="807"/>
      <c r="N519" s="144"/>
    </row>
    <row r="520" spans="1:14" hidden="1">
      <c r="C520" s="654" t="s">
        <v>326</v>
      </c>
      <c r="D520" s="655"/>
      <c r="E520" s="189" t="s">
        <v>240</v>
      </c>
      <c r="F520" s="806"/>
      <c r="G520" s="807"/>
      <c r="H520" s="807"/>
      <c r="I520" s="807"/>
      <c r="J520" s="807"/>
      <c r="K520" s="807"/>
      <c r="L520" s="807"/>
      <c r="M520" s="807"/>
      <c r="N520" s="144"/>
    </row>
    <row r="521" spans="1:14" ht="15" hidden="1" customHeight="1">
      <c r="C521" s="804" t="s">
        <v>997</v>
      </c>
      <c r="D521" s="805"/>
      <c r="E521" s="189" t="s">
        <v>240</v>
      </c>
      <c r="F521" s="806"/>
      <c r="G521" s="807"/>
      <c r="H521" s="807"/>
      <c r="I521" s="807"/>
      <c r="J521" s="807"/>
      <c r="K521" s="807"/>
      <c r="L521" s="807"/>
      <c r="M521" s="807"/>
      <c r="N521" s="144"/>
    </row>
    <row r="522" spans="1:14" ht="30" hidden="1" customHeight="1">
      <c r="C522" s="804" t="s">
        <v>327</v>
      </c>
      <c r="D522" s="805"/>
      <c r="E522" s="189" t="s">
        <v>240</v>
      </c>
      <c r="F522" s="806"/>
      <c r="G522" s="807"/>
      <c r="H522" s="807"/>
      <c r="I522" s="807"/>
      <c r="J522" s="807"/>
      <c r="K522" s="807"/>
      <c r="L522" s="807"/>
      <c r="M522" s="807"/>
      <c r="N522" s="144"/>
    </row>
    <row r="523" spans="1:14" ht="9" hidden="1" customHeight="1">
      <c r="C523" s="132"/>
      <c r="D523" s="132"/>
      <c r="E523" s="132"/>
      <c r="F523" s="132"/>
      <c r="G523" s="132"/>
      <c r="H523" s="132"/>
      <c r="I523" s="132"/>
      <c r="J523" s="132"/>
      <c r="K523" s="132"/>
      <c r="L523" s="132"/>
      <c r="M523" s="132"/>
    </row>
    <row r="524" spans="1:14" hidden="1"/>
    <row r="525" spans="1:14" hidden="1">
      <c r="A525" s="6" t="s">
        <v>693</v>
      </c>
      <c r="C525" s="798" t="s">
        <v>667</v>
      </c>
      <c r="D525" s="799"/>
      <c r="E525" s="800" t="str">
        <f>IF(C34="","",C34)</f>
        <v/>
      </c>
      <c r="F525" s="801"/>
      <c r="G525" s="801"/>
      <c r="H525" s="801"/>
      <c r="I525" s="801"/>
      <c r="J525" s="654" t="s">
        <v>322</v>
      </c>
      <c r="K525" s="655"/>
      <c r="L525" s="802">
        <f>D34</f>
        <v>0</v>
      </c>
      <c r="M525" s="803"/>
      <c r="N525" s="144"/>
    </row>
    <row r="526" spans="1:14" ht="45" hidden="1" customHeight="1">
      <c r="C526" s="654" t="s">
        <v>995</v>
      </c>
      <c r="D526" s="655"/>
      <c r="E526" s="808"/>
      <c r="F526" s="809"/>
      <c r="G526" s="809"/>
      <c r="H526" s="809"/>
      <c r="I526" s="809"/>
      <c r="J526" s="809"/>
      <c r="K526" s="809"/>
      <c r="L526" s="809"/>
      <c r="M526" s="809"/>
      <c r="N526" s="144"/>
    </row>
    <row r="527" spans="1:14" ht="60" hidden="1" customHeight="1">
      <c r="C527" s="810" t="str">
        <f>"The investment is mandated by a SES Regulation (i.e. PCP/CP1/Interoperability)?" &amp; IF($E527="yes"," Ref. to the Regulation and, if funded through Union assistance programmes, ref. to the relevant grant agreement.)","")</f>
        <v>The investment is mandated by a SES Regulation (i.e. PCP/CP1/Interoperability)?</v>
      </c>
      <c r="D527" s="811"/>
      <c r="E527" s="398" t="s">
        <v>240</v>
      </c>
      <c r="F527" s="632"/>
      <c r="G527" s="633"/>
      <c r="H527" s="633"/>
      <c r="I527" s="633"/>
      <c r="J527" s="633"/>
      <c r="K527" s="633"/>
      <c r="L527" s="633"/>
      <c r="M527" s="724"/>
      <c r="N527" s="144"/>
    </row>
    <row r="528" spans="1:14" ht="15" hidden="1" customHeight="1">
      <c r="C528" s="654" t="s">
        <v>1725</v>
      </c>
      <c r="D528" s="825"/>
      <c r="E528" s="417" t="s">
        <v>1550</v>
      </c>
      <c r="F528" s="417" t="s">
        <v>1551</v>
      </c>
      <c r="G528" s="417" t="s">
        <v>1552</v>
      </c>
      <c r="H528" s="417" t="s">
        <v>1553</v>
      </c>
      <c r="I528" s="417" t="s">
        <v>1554</v>
      </c>
      <c r="J528" s="417" t="s">
        <v>1555</v>
      </c>
      <c r="K528" s="417" t="s">
        <v>1556</v>
      </c>
      <c r="L528" s="821"/>
      <c r="M528" s="822"/>
      <c r="N528" s="144"/>
    </row>
    <row r="529" spans="1:14" ht="30" hidden="1" customHeight="1">
      <c r="C529" s="826"/>
      <c r="D529" s="827"/>
      <c r="E529" s="411"/>
      <c r="F529" s="411"/>
      <c r="G529" s="411"/>
      <c r="H529" s="411"/>
      <c r="I529" s="411"/>
      <c r="J529" s="411"/>
      <c r="K529" s="411"/>
      <c r="L529" s="823"/>
      <c r="M529" s="824"/>
      <c r="N529" s="144"/>
    </row>
    <row r="530" spans="1:14" ht="15" hidden="1" customHeight="1">
      <c r="C530" s="804" t="s">
        <v>1490</v>
      </c>
      <c r="D530" s="812"/>
      <c r="E530" s="399" t="s">
        <v>1484</v>
      </c>
      <c r="F530" s="632"/>
      <c r="G530" s="633"/>
      <c r="H530" s="633"/>
      <c r="I530" s="633"/>
      <c r="J530" s="633"/>
      <c r="K530" s="633"/>
      <c r="L530" s="633"/>
      <c r="M530" s="724"/>
      <c r="N530" s="144"/>
    </row>
    <row r="531" spans="1:14" hidden="1">
      <c r="C531" s="813"/>
      <c r="D531" s="814"/>
      <c r="E531" s="320" t="s">
        <v>1492</v>
      </c>
      <c r="F531" s="632"/>
      <c r="G531" s="633"/>
      <c r="H531" s="633"/>
      <c r="I531" s="633"/>
      <c r="J531" s="633"/>
      <c r="K531" s="633"/>
      <c r="L531" s="633"/>
      <c r="M531" s="724"/>
      <c r="N531" s="144"/>
    </row>
    <row r="532" spans="1:14" hidden="1">
      <c r="C532" s="815"/>
      <c r="D532" s="816"/>
      <c r="E532" s="400" t="s">
        <v>1485</v>
      </c>
      <c r="F532" s="632"/>
      <c r="G532" s="633"/>
      <c r="H532" s="633"/>
      <c r="I532" s="633"/>
      <c r="J532" s="633"/>
      <c r="K532" s="633"/>
      <c r="L532" s="633"/>
      <c r="M532" s="724"/>
      <c r="N532" s="144"/>
    </row>
    <row r="533" spans="1:14" hidden="1">
      <c r="C533" s="804" t="s">
        <v>1491</v>
      </c>
      <c r="D533" s="817"/>
      <c r="E533" s="360" t="s">
        <v>1486</v>
      </c>
      <c r="F533" s="632"/>
      <c r="G533" s="633"/>
      <c r="H533" s="633"/>
      <c r="I533" s="633"/>
      <c r="J533" s="633"/>
      <c r="K533" s="633"/>
      <c r="L533" s="633"/>
      <c r="M533" s="724"/>
      <c r="N533" s="144"/>
    </row>
    <row r="534" spans="1:14" hidden="1">
      <c r="C534" s="813"/>
      <c r="D534" s="818"/>
      <c r="E534" s="360" t="s">
        <v>1487</v>
      </c>
      <c r="F534" s="632"/>
      <c r="G534" s="633"/>
      <c r="H534" s="633"/>
      <c r="I534" s="633"/>
      <c r="J534" s="633"/>
      <c r="K534" s="633"/>
      <c r="L534" s="633"/>
      <c r="M534" s="724"/>
      <c r="N534" s="144"/>
    </row>
    <row r="535" spans="1:14" hidden="1">
      <c r="C535" s="813"/>
      <c r="D535" s="818"/>
      <c r="E535" s="360" t="s">
        <v>1488</v>
      </c>
      <c r="F535" s="632"/>
      <c r="G535" s="633"/>
      <c r="H535" s="633"/>
      <c r="I535" s="633"/>
      <c r="J535" s="633"/>
      <c r="K535" s="633"/>
      <c r="L535" s="633"/>
      <c r="M535" s="724"/>
      <c r="N535" s="144"/>
    </row>
    <row r="536" spans="1:14" hidden="1">
      <c r="C536" s="815"/>
      <c r="D536" s="819"/>
      <c r="E536" s="360" t="s">
        <v>1489</v>
      </c>
      <c r="F536" s="632"/>
      <c r="G536" s="633"/>
      <c r="H536" s="633"/>
      <c r="I536" s="633"/>
      <c r="J536" s="633"/>
      <c r="K536" s="633"/>
      <c r="L536" s="633"/>
      <c r="M536" s="724"/>
      <c r="N536" s="144"/>
    </row>
    <row r="537" spans="1:14" ht="45" hidden="1" customHeight="1">
      <c r="C537" s="654" t="str">
        <f>IF($E527="No","Results of the consultation of airspace users' representatives", "Benefits for airspace users and results of the consultation of airspace users' representatives")</f>
        <v>Benefits for airspace users and results of the consultation of airspace users' representatives</v>
      </c>
      <c r="D537" s="655"/>
      <c r="E537" s="820"/>
      <c r="F537" s="809"/>
      <c r="G537" s="809"/>
      <c r="H537" s="809"/>
      <c r="I537" s="809"/>
      <c r="J537" s="809"/>
      <c r="K537" s="809"/>
      <c r="L537" s="809"/>
      <c r="M537" s="809"/>
      <c r="N537" s="144"/>
    </row>
    <row r="538" spans="1:14" hidden="1">
      <c r="C538" s="654" t="s">
        <v>996</v>
      </c>
      <c r="D538" s="655"/>
      <c r="E538" s="189" t="s">
        <v>240</v>
      </c>
      <c r="F538" s="806"/>
      <c r="G538" s="807"/>
      <c r="H538" s="807"/>
      <c r="I538" s="807"/>
      <c r="J538" s="807"/>
      <c r="K538" s="807"/>
      <c r="L538" s="807"/>
      <c r="M538" s="807"/>
      <c r="N538" s="144"/>
    </row>
    <row r="539" spans="1:14" hidden="1">
      <c r="C539" s="654" t="s">
        <v>326</v>
      </c>
      <c r="D539" s="655"/>
      <c r="E539" s="189" t="s">
        <v>240</v>
      </c>
      <c r="F539" s="806"/>
      <c r="G539" s="807"/>
      <c r="H539" s="807"/>
      <c r="I539" s="807"/>
      <c r="J539" s="807"/>
      <c r="K539" s="807"/>
      <c r="L539" s="807"/>
      <c r="M539" s="807"/>
      <c r="N539" s="144"/>
    </row>
    <row r="540" spans="1:14" ht="15" hidden="1" customHeight="1">
      <c r="C540" s="804" t="s">
        <v>997</v>
      </c>
      <c r="D540" s="805"/>
      <c r="E540" s="189" t="s">
        <v>240</v>
      </c>
      <c r="F540" s="806"/>
      <c r="G540" s="807"/>
      <c r="H540" s="807"/>
      <c r="I540" s="807"/>
      <c r="J540" s="807"/>
      <c r="K540" s="807"/>
      <c r="L540" s="807"/>
      <c r="M540" s="807"/>
      <c r="N540" s="144"/>
    </row>
    <row r="541" spans="1:14" ht="30" hidden="1" customHeight="1">
      <c r="C541" s="804" t="s">
        <v>327</v>
      </c>
      <c r="D541" s="805"/>
      <c r="E541" s="189" t="s">
        <v>240</v>
      </c>
      <c r="F541" s="806"/>
      <c r="G541" s="807"/>
      <c r="H541" s="807"/>
      <c r="I541" s="807"/>
      <c r="J541" s="807"/>
      <c r="K541" s="807"/>
      <c r="L541" s="807"/>
      <c r="M541" s="807"/>
      <c r="N541" s="144"/>
    </row>
    <row r="542" spans="1:14" ht="9" hidden="1" customHeight="1">
      <c r="C542" s="132"/>
      <c r="D542" s="132"/>
      <c r="E542" s="132"/>
      <c r="F542" s="132"/>
      <c r="G542" s="132"/>
      <c r="H542" s="132"/>
      <c r="I542" s="132"/>
      <c r="J542" s="132"/>
      <c r="K542" s="132"/>
      <c r="L542" s="132"/>
      <c r="M542" s="132"/>
    </row>
    <row r="543" spans="1:14" hidden="1"/>
    <row r="544" spans="1:14" ht="15" hidden="1" customHeight="1">
      <c r="A544" s="6" t="s">
        <v>693</v>
      </c>
      <c r="C544" s="798" t="s">
        <v>668</v>
      </c>
      <c r="D544" s="799"/>
      <c r="E544" s="800" t="str">
        <f>IF(C35="","",C35)</f>
        <v/>
      </c>
      <c r="F544" s="801"/>
      <c r="G544" s="801"/>
      <c r="H544" s="801"/>
      <c r="I544" s="801"/>
      <c r="J544" s="654" t="s">
        <v>322</v>
      </c>
      <c r="K544" s="655"/>
      <c r="L544" s="802">
        <f>D35</f>
        <v>0</v>
      </c>
      <c r="M544" s="803"/>
      <c r="N544" s="144"/>
    </row>
    <row r="545" spans="3:14" ht="45" hidden="1" customHeight="1">
      <c r="C545" s="654" t="s">
        <v>995</v>
      </c>
      <c r="D545" s="655"/>
      <c r="E545" s="808"/>
      <c r="F545" s="809"/>
      <c r="G545" s="809"/>
      <c r="H545" s="809"/>
      <c r="I545" s="809"/>
      <c r="J545" s="809"/>
      <c r="K545" s="809"/>
      <c r="L545" s="809"/>
      <c r="M545" s="809"/>
      <c r="N545" s="144"/>
    </row>
    <row r="546" spans="3:14" ht="60" hidden="1" customHeight="1">
      <c r="C546" s="810" t="str">
        <f>"The investment is mandated by a SES Regulation (i.e. PCP/CP1/Interoperability)?" &amp; IF($E546="yes"," Ref. to the Regulation and, if funded through Union assistance programmes, ref. to the relevant grant agreement.)","")</f>
        <v>The investment is mandated by a SES Regulation (i.e. PCP/CP1/Interoperability)?</v>
      </c>
      <c r="D546" s="811"/>
      <c r="E546" s="398" t="s">
        <v>240</v>
      </c>
      <c r="F546" s="632"/>
      <c r="G546" s="633"/>
      <c r="H546" s="633"/>
      <c r="I546" s="633"/>
      <c r="J546" s="633"/>
      <c r="K546" s="633"/>
      <c r="L546" s="633"/>
      <c r="M546" s="724"/>
      <c r="N546" s="144"/>
    </row>
    <row r="547" spans="3:14" ht="15" hidden="1" customHeight="1">
      <c r="C547" s="654" t="s">
        <v>1725</v>
      </c>
      <c r="D547" s="825"/>
      <c r="E547" s="417" t="s">
        <v>1550</v>
      </c>
      <c r="F547" s="417" t="s">
        <v>1551</v>
      </c>
      <c r="G547" s="417" t="s">
        <v>1552</v>
      </c>
      <c r="H547" s="417" t="s">
        <v>1553</v>
      </c>
      <c r="I547" s="417" t="s">
        <v>1554</v>
      </c>
      <c r="J547" s="417" t="s">
        <v>1555</v>
      </c>
      <c r="K547" s="417" t="s">
        <v>1556</v>
      </c>
      <c r="L547" s="821"/>
      <c r="M547" s="822"/>
      <c r="N547" s="144"/>
    </row>
    <row r="548" spans="3:14" ht="30" hidden="1" customHeight="1">
      <c r="C548" s="826"/>
      <c r="D548" s="827"/>
      <c r="E548" s="411"/>
      <c r="F548" s="411"/>
      <c r="G548" s="411"/>
      <c r="H548" s="411"/>
      <c r="I548" s="411"/>
      <c r="J548" s="411"/>
      <c r="K548" s="411"/>
      <c r="L548" s="823"/>
      <c r="M548" s="824"/>
      <c r="N548" s="144"/>
    </row>
    <row r="549" spans="3:14" ht="15" hidden="1" customHeight="1">
      <c r="C549" s="804" t="s">
        <v>1490</v>
      </c>
      <c r="D549" s="812"/>
      <c r="E549" s="399" t="s">
        <v>1484</v>
      </c>
      <c r="F549" s="632"/>
      <c r="G549" s="633"/>
      <c r="H549" s="633"/>
      <c r="I549" s="633"/>
      <c r="J549" s="633"/>
      <c r="K549" s="633"/>
      <c r="L549" s="633"/>
      <c r="M549" s="724"/>
      <c r="N549" s="144"/>
    </row>
    <row r="550" spans="3:14" hidden="1">
      <c r="C550" s="813"/>
      <c r="D550" s="814"/>
      <c r="E550" s="320" t="s">
        <v>1492</v>
      </c>
      <c r="F550" s="632"/>
      <c r="G550" s="633"/>
      <c r="H550" s="633"/>
      <c r="I550" s="633"/>
      <c r="J550" s="633"/>
      <c r="K550" s="633"/>
      <c r="L550" s="633"/>
      <c r="M550" s="724"/>
      <c r="N550" s="144"/>
    </row>
    <row r="551" spans="3:14" hidden="1">
      <c r="C551" s="815"/>
      <c r="D551" s="816"/>
      <c r="E551" s="400" t="s">
        <v>1485</v>
      </c>
      <c r="F551" s="632"/>
      <c r="G551" s="633"/>
      <c r="H551" s="633"/>
      <c r="I551" s="633"/>
      <c r="J551" s="633"/>
      <c r="K551" s="633"/>
      <c r="L551" s="633"/>
      <c r="M551" s="724"/>
      <c r="N551" s="144"/>
    </row>
    <row r="552" spans="3:14" hidden="1">
      <c r="C552" s="804" t="s">
        <v>1491</v>
      </c>
      <c r="D552" s="817"/>
      <c r="E552" s="360" t="s">
        <v>1486</v>
      </c>
      <c r="F552" s="632"/>
      <c r="G552" s="633"/>
      <c r="H552" s="633"/>
      <c r="I552" s="633"/>
      <c r="J552" s="633"/>
      <c r="K552" s="633"/>
      <c r="L552" s="633"/>
      <c r="M552" s="724"/>
      <c r="N552" s="144"/>
    </row>
    <row r="553" spans="3:14" hidden="1">
      <c r="C553" s="813"/>
      <c r="D553" s="818"/>
      <c r="E553" s="360" t="s">
        <v>1487</v>
      </c>
      <c r="F553" s="632"/>
      <c r="G553" s="633"/>
      <c r="H553" s="633"/>
      <c r="I553" s="633"/>
      <c r="J553" s="633"/>
      <c r="K553" s="633"/>
      <c r="L553" s="633"/>
      <c r="M553" s="724"/>
      <c r="N553" s="144"/>
    </row>
    <row r="554" spans="3:14" hidden="1">
      <c r="C554" s="813"/>
      <c r="D554" s="818"/>
      <c r="E554" s="360" t="s">
        <v>1488</v>
      </c>
      <c r="F554" s="632"/>
      <c r="G554" s="633"/>
      <c r="H554" s="633"/>
      <c r="I554" s="633"/>
      <c r="J554" s="633"/>
      <c r="K554" s="633"/>
      <c r="L554" s="633"/>
      <c r="M554" s="724"/>
      <c r="N554" s="144"/>
    </row>
    <row r="555" spans="3:14" hidden="1">
      <c r="C555" s="815"/>
      <c r="D555" s="819"/>
      <c r="E555" s="360" t="s">
        <v>1489</v>
      </c>
      <c r="F555" s="632"/>
      <c r="G555" s="633"/>
      <c r="H555" s="633"/>
      <c r="I555" s="633"/>
      <c r="J555" s="633"/>
      <c r="K555" s="633"/>
      <c r="L555" s="633"/>
      <c r="M555" s="724"/>
      <c r="N555" s="144"/>
    </row>
    <row r="556" spans="3:14" ht="45" hidden="1" customHeight="1">
      <c r="C556" s="654" t="str">
        <f>IF($E546="No","Results of the consultation of airspace users' representatives", "Benefits for airspace users and results of the consultation of airspace users' representatives")</f>
        <v>Benefits for airspace users and results of the consultation of airspace users' representatives</v>
      </c>
      <c r="D556" s="655"/>
      <c r="E556" s="820"/>
      <c r="F556" s="809"/>
      <c r="G556" s="809"/>
      <c r="H556" s="809"/>
      <c r="I556" s="809"/>
      <c r="J556" s="809"/>
      <c r="K556" s="809"/>
      <c r="L556" s="809"/>
      <c r="M556" s="809"/>
      <c r="N556" s="144"/>
    </row>
    <row r="557" spans="3:14" hidden="1">
      <c r="C557" s="654" t="s">
        <v>996</v>
      </c>
      <c r="D557" s="655"/>
      <c r="E557" s="189" t="s">
        <v>240</v>
      </c>
      <c r="F557" s="806"/>
      <c r="G557" s="807"/>
      <c r="H557" s="807"/>
      <c r="I557" s="807"/>
      <c r="J557" s="807"/>
      <c r="K557" s="807"/>
      <c r="L557" s="807"/>
      <c r="M557" s="807"/>
      <c r="N557" s="144"/>
    </row>
    <row r="558" spans="3:14" hidden="1">
      <c r="C558" s="654" t="s">
        <v>326</v>
      </c>
      <c r="D558" s="655"/>
      <c r="E558" s="189" t="s">
        <v>240</v>
      </c>
      <c r="F558" s="806"/>
      <c r="G558" s="807"/>
      <c r="H558" s="807"/>
      <c r="I558" s="807"/>
      <c r="J558" s="807"/>
      <c r="K558" s="807"/>
      <c r="L558" s="807"/>
      <c r="M558" s="807"/>
      <c r="N558" s="144"/>
    </row>
    <row r="559" spans="3:14" ht="15" hidden="1" customHeight="1">
      <c r="C559" s="804" t="s">
        <v>997</v>
      </c>
      <c r="D559" s="805"/>
      <c r="E559" s="189" t="s">
        <v>240</v>
      </c>
      <c r="F559" s="806"/>
      <c r="G559" s="807"/>
      <c r="H559" s="807"/>
      <c r="I559" s="807"/>
      <c r="J559" s="807"/>
      <c r="K559" s="807"/>
      <c r="L559" s="807"/>
      <c r="M559" s="807"/>
      <c r="N559" s="144"/>
    </row>
    <row r="560" spans="3:14" ht="30" hidden="1" customHeight="1">
      <c r="C560" s="804" t="s">
        <v>327</v>
      </c>
      <c r="D560" s="805"/>
      <c r="E560" s="189" t="s">
        <v>240</v>
      </c>
      <c r="F560" s="806"/>
      <c r="G560" s="807"/>
      <c r="H560" s="807"/>
      <c r="I560" s="807"/>
      <c r="J560" s="807"/>
      <c r="K560" s="807"/>
      <c r="L560" s="807"/>
      <c r="M560" s="807"/>
      <c r="N560" s="144"/>
    </row>
    <row r="561" spans="1:14" ht="9" hidden="1" customHeight="1">
      <c r="C561" s="132"/>
      <c r="D561" s="132"/>
      <c r="E561" s="132"/>
      <c r="F561" s="132"/>
      <c r="G561" s="132"/>
      <c r="H561" s="132"/>
      <c r="I561" s="132"/>
      <c r="J561" s="132"/>
      <c r="K561" s="132"/>
      <c r="L561" s="132"/>
      <c r="M561" s="132"/>
    </row>
    <row r="562" spans="1:14" hidden="1"/>
    <row r="563" spans="1:14" ht="15" hidden="1" customHeight="1">
      <c r="A563" s="6" t="s">
        <v>693</v>
      </c>
      <c r="C563" s="798" t="s">
        <v>669</v>
      </c>
      <c r="D563" s="799"/>
      <c r="E563" s="800" t="str">
        <f>IF(C36="","",C36)</f>
        <v/>
      </c>
      <c r="F563" s="801"/>
      <c r="G563" s="801"/>
      <c r="H563" s="801"/>
      <c r="I563" s="801"/>
      <c r="J563" s="654" t="s">
        <v>322</v>
      </c>
      <c r="K563" s="655"/>
      <c r="L563" s="802">
        <f>D36</f>
        <v>0</v>
      </c>
      <c r="M563" s="803"/>
      <c r="N563" s="144"/>
    </row>
    <row r="564" spans="1:14" ht="45" hidden="1" customHeight="1">
      <c r="C564" s="654" t="s">
        <v>995</v>
      </c>
      <c r="D564" s="655"/>
      <c r="E564" s="808"/>
      <c r="F564" s="809"/>
      <c r="G564" s="809"/>
      <c r="H564" s="809"/>
      <c r="I564" s="809"/>
      <c r="J564" s="809"/>
      <c r="K564" s="809"/>
      <c r="L564" s="809"/>
      <c r="M564" s="809"/>
      <c r="N564" s="144"/>
    </row>
    <row r="565" spans="1:14" ht="60" hidden="1" customHeight="1">
      <c r="C565" s="810" t="str">
        <f>"The investment is mandated by a SES Regulation (i.e. PCP/CP1/Interoperability)?" &amp; IF($E565="yes"," Ref. to the Regulation and, if funded through Union assistance programmes, ref. to the relevant grant agreement.)","")</f>
        <v>The investment is mandated by a SES Regulation (i.e. PCP/CP1/Interoperability)?</v>
      </c>
      <c r="D565" s="811"/>
      <c r="E565" s="398" t="s">
        <v>240</v>
      </c>
      <c r="F565" s="632"/>
      <c r="G565" s="633"/>
      <c r="H565" s="633"/>
      <c r="I565" s="633"/>
      <c r="J565" s="633"/>
      <c r="K565" s="633"/>
      <c r="L565" s="633"/>
      <c r="M565" s="724"/>
      <c r="N565" s="144"/>
    </row>
    <row r="566" spans="1:14" ht="15" hidden="1" customHeight="1">
      <c r="C566" s="654" t="s">
        <v>1725</v>
      </c>
      <c r="D566" s="825"/>
      <c r="E566" s="417" t="s">
        <v>1550</v>
      </c>
      <c r="F566" s="417" t="s">
        <v>1551</v>
      </c>
      <c r="G566" s="417" t="s">
        <v>1552</v>
      </c>
      <c r="H566" s="417" t="s">
        <v>1553</v>
      </c>
      <c r="I566" s="417" t="s">
        <v>1554</v>
      </c>
      <c r="J566" s="417" t="s">
        <v>1555</v>
      </c>
      <c r="K566" s="417" t="s">
        <v>1556</v>
      </c>
      <c r="L566" s="821"/>
      <c r="M566" s="822"/>
      <c r="N566" s="144"/>
    </row>
    <row r="567" spans="1:14" ht="30" hidden="1" customHeight="1">
      <c r="C567" s="826"/>
      <c r="D567" s="827"/>
      <c r="E567" s="411"/>
      <c r="F567" s="411"/>
      <c r="G567" s="411"/>
      <c r="H567" s="411"/>
      <c r="I567" s="411"/>
      <c r="J567" s="411"/>
      <c r="K567" s="411"/>
      <c r="L567" s="823"/>
      <c r="M567" s="824"/>
      <c r="N567" s="144"/>
    </row>
    <row r="568" spans="1:14" ht="15" hidden="1" customHeight="1">
      <c r="C568" s="804" t="s">
        <v>1490</v>
      </c>
      <c r="D568" s="812"/>
      <c r="E568" s="399" t="s">
        <v>1484</v>
      </c>
      <c r="F568" s="632"/>
      <c r="G568" s="633"/>
      <c r="H568" s="633"/>
      <c r="I568" s="633"/>
      <c r="J568" s="633"/>
      <c r="K568" s="633"/>
      <c r="L568" s="633"/>
      <c r="M568" s="724"/>
      <c r="N568" s="144"/>
    </row>
    <row r="569" spans="1:14" hidden="1">
      <c r="C569" s="813"/>
      <c r="D569" s="814"/>
      <c r="E569" s="320" t="s">
        <v>1492</v>
      </c>
      <c r="F569" s="632"/>
      <c r="G569" s="633"/>
      <c r="H569" s="633"/>
      <c r="I569" s="633"/>
      <c r="J569" s="633"/>
      <c r="K569" s="633"/>
      <c r="L569" s="633"/>
      <c r="M569" s="724"/>
      <c r="N569" s="144"/>
    </row>
    <row r="570" spans="1:14" hidden="1">
      <c r="C570" s="815"/>
      <c r="D570" s="816"/>
      <c r="E570" s="400" t="s">
        <v>1485</v>
      </c>
      <c r="F570" s="632"/>
      <c r="G570" s="633"/>
      <c r="H570" s="633"/>
      <c r="I570" s="633"/>
      <c r="J570" s="633"/>
      <c r="K570" s="633"/>
      <c r="L570" s="633"/>
      <c r="M570" s="724"/>
      <c r="N570" s="144"/>
    </row>
    <row r="571" spans="1:14" hidden="1">
      <c r="C571" s="804" t="s">
        <v>1491</v>
      </c>
      <c r="D571" s="817"/>
      <c r="E571" s="360" t="s">
        <v>1486</v>
      </c>
      <c r="F571" s="632"/>
      <c r="G571" s="633"/>
      <c r="H571" s="633"/>
      <c r="I571" s="633"/>
      <c r="J571" s="633"/>
      <c r="K571" s="633"/>
      <c r="L571" s="633"/>
      <c r="M571" s="724"/>
      <c r="N571" s="144"/>
    </row>
    <row r="572" spans="1:14" hidden="1">
      <c r="C572" s="813"/>
      <c r="D572" s="818"/>
      <c r="E572" s="360" t="s">
        <v>1487</v>
      </c>
      <c r="F572" s="632"/>
      <c r="G572" s="633"/>
      <c r="H572" s="633"/>
      <c r="I572" s="633"/>
      <c r="J572" s="633"/>
      <c r="K572" s="633"/>
      <c r="L572" s="633"/>
      <c r="M572" s="724"/>
      <c r="N572" s="144"/>
    </row>
    <row r="573" spans="1:14" hidden="1">
      <c r="C573" s="813"/>
      <c r="D573" s="818"/>
      <c r="E573" s="360" t="s">
        <v>1488</v>
      </c>
      <c r="F573" s="632"/>
      <c r="G573" s="633"/>
      <c r="H573" s="633"/>
      <c r="I573" s="633"/>
      <c r="J573" s="633"/>
      <c r="K573" s="633"/>
      <c r="L573" s="633"/>
      <c r="M573" s="724"/>
      <c r="N573" s="144"/>
    </row>
    <row r="574" spans="1:14" hidden="1">
      <c r="C574" s="815"/>
      <c r="D574" s="819"/>
      <c r="E574" s="360" t="s">
        <v>1489</v>
      </c>
      <c r="F574" s="632"/>
      <c r="G574" s="633"/>
      <c r="H574" s="633"/>
      <c r="I574" s="633"/>
      <c r="J574" s="633"/>
      <c r="K574" s="633"/>
      <c r="L574" s="633"/>
      <c r="M574" s="724"/>
      <c r="N574" s="144"/>
    </row>
    <row r="575" spans="1:14" ht="45" hidden="1" customHeight="1">
      <c r="C575" s="654" t="str">
        <f>IF($E565="No","Results of the consultation of airspace users' representatives", "Benefits for airspace users and results of the consultation of airspace users' representatives")</f>
        <v>Benefits for airspace users and results of the consultation of airspace users' representatives</v>
      </c>
      <c r="D575" s="655"/>
      <c r="E575" s="820"/>
      <c r="F575" s="809"/>
      <c r="G575" s="809"/>
      <c r="H575" s="809"/>
      <c r="I575" s="809"/>
      <c r="J575" s="809"/>
      <c r="K575" s="809"/>
      <c r="L575" s="809"/>
      <c r="M575" s="809"/>
      <c r="N575" s="144"/>
    </row>
    <row r="576" spans="1:14" hidden="1">
      <c r="C576" s="654" t="s">
        <v>996</v>
      </c>
      <c r="D576" s="655"/>
      <c r="E576" s="189" t="s">
        <v>240</v>
      </c>
      <c r="F576" s="806"/>
      <c r="G576" s="807"/>
      <c r="H576" s="807"/>
      <c r="I576" s="807"/>
      <c r="J576" s="807"/>
      <c r="K576" s="807"/>
      <c r="L576" s="807"/>
      <c r="M576" s="807"/>
      <c r="N576" s="144"/>
    </row>
    <row r="577" spans="1:14" hidden="1">
      <c r="C577" s="654" t="s">
        <v>326</v>
      </c>
      <c r="D577" s="655"/>
      <c r="E577" s="189" t="s">
        <v>240</v>
      </c>
      <c r="F577" s="806"/>
      <c r="G577" s="807"/>
      <c r="H577" s="807"/>
      <c r="I577" s="807"/>
      <c r="J577" s="807"/>
      <c r="K577" s="807"/>
      <c r="L577" s="807"/>
      <c r="M577" s="807"/>
      <c r="N577" s="144"/>
    </row>
    <row r="578" spans="1:14" ht="15" hidden="1" customHeight="1">
      <c r="C578" s="804" t="s">
        <v>997</v>
      </c>
      <c r="D578" s="805"/>
      <c r="E578" s="189" t="s">
        <v>240</v>
      </c>
      <c r="F578" s="806"/>
      <c r="G578" s="807"/>
      <c r="H578" s="807"/>
      <c r="I578" s="807"/>
      <c r="J578" s="807"/>
      <c r="K578" s="807"/>
      <c r="L578" s="807"/>
      <c r="M578" s="807"/>
      <c r="N578" s="144"/>
    </row>
    <row r="579" spans="1:14" ht="30" hidden="1" customHeight="1">
      <c r="C579" s="804" t="s">
        <v>327</v>
      </c>
      <c r="D579" s="805"/>
      <c r="E579" s="189" t="s">
        <v>240</v>
      </c>
      <c r="F579" s="806"/>
      <c r="G579" s="807"/>
      <c r="H579" s="807"/>
      <c r="I579" s="807"/>
      <c r="J579" s="807"/>
      <c r="K579" s="807"/>
      <c r="L579" s="807"/>
      <c r="M579" s="807"/>
      <c r="N579" s="144"/>
    </row>
    <row r="580" spans="1:14" ht="8.1" hidden="1" customHeight="1">
      <c r="C580" s="132"/>
      <c r="D580" s="132"/>
      <c r="E580" s="132"/>
      <c r="F580" s="132"/>
      <c r="G580" s="132"/>
      <c r="H580" s="132"/>
      <c r="I580" s="132"/>
      <c r="J580" s="132"/>
      <c r="K580" s="132"/>
      <c r="L580" s="132"/>
      <c r="M580" s="132"/>
    </row>
    <row r="581" spans="1:14" hidden="1"/>
    <row r="582" spans="1:14" hidden="1">
      <c r="A582" s="6" t="s">
        <v>693</v>
      </c>
      <c r="C582" s="798" t="s">
        <v>670</v>
      </c>
      <c r="D582" s="799"/>
      <c r="E582" s="800" t="str">
        <f>IF(C37="","",C37)</f>
        <v/>
      </c>
      <c r="F582" s="801"/>
      <c r="G582" s="801"/>
      <c r="H582" s="801"/>
      <c r="I582" s="801"/>
      <c r="J582" s="654" t="s">
        <v>322</v>
      </c>
      <c r="K582" s="655"/>
      <c r="L582" s="802">
        <f>D37</f>
        <v>0</v>
      </c>
      <c r="M582" s="803"/>
      <c r="N582" s="144"/>
    </row>
    <row r="583" spans="1:14" ht="45" hidden="1" customHeight="1">
      <c r="C583" s="654" t="s">
        <v>995</v>
      </c>
      <c r="D583" s="655"/>
      <c r="E583" s="808"/>
      <c r="F583" s="809"/>
      <c r="G583" s="809"/>
      <c r="H583" s="809"/>
      <c r="I583" s="809"/>
      <c r="J583" s="809"/>
      <c r="K583" s="809"/>
      <c r="L583" s="809"/>
      <c r="M583" s="809"/>
      <c r="N583" s="144"/>
    </row>
    <row r="584" spans="1:14" ht="60" hidden="1" customHeight="1">
      <c r="C584" s="810" t="str">
        <f>"The investment is mandated by a SES Regulation (i.e. PCP/CP1/Interoperability)?" &amp; IF($E584="yes"," Ref. to the Regulation and, if funded through Union assistance programmes, ref. to the relevant grant agreement.)","")</f>
        <v>The investment is mandated by a SES Regulation (i.e. PCP/CP1/Interoperability)?</v>
      </c>
      <c r="D584" s="811"/>
      <c r="E584" s="398" t="s">
        <v>240</v>
      </c>
      <c r="F584" s="632"/>
      <c r="G584" s="633"/>
      <c r="H584" s="633"/>
      <c r="I584" s="633"/>
      <c r="J584" s="633"/>
      <c r="K584" s="633"/>
      <c r="L584" s="633"/>
      <c r="M584" s="724"/>
      <c r="N584" s="144"/>
    </row>
    <row r="585" spans="1:14" ht="15" hidden="1" customHeight="1">
      <c r="C585" s="654" t="s">
        <v>1725</v>
      </c>
      <c r="D585" s="825"/>
      <c r="E585" s="417" t="s">
        <v>1550</v>
      </c>
      <c r="F585" s="417" t="s">
        <v>1551</v>
      </c>
      <c r="G585" s="417" t="s">
        <v>1552</v>
      </c>
      <c r="H585" s="417" t="s">
        <v>1553</v>
      </c>
      <c r="I585" s="417" t="s">
        <v>1554</v>
      </c>
      <c r="J585" s="417" t="s">
        <v>1555</v>
      </c>
      <c r="K585" s="417" t="s">
        <v>1556</v>
      </c>
      <c r="L585" s="821"/>
      <c r="M585" s="822"/>
      <c r="N585" s="144"/>
    </row>
    <row r="586" spans="1:14" ht="30" hidden="1" customHeight="1">
      <c r="C586" s="826"/>
      <c r="D586" s="827"/>
      <c r="E586" s="411"/>
      <c r="F586" s="411"/>
      <c r="G586" s="411"/>
      <c r="H586" s="411"/>
      <c r="I586" s="411"/>
      <c r="J586" s="411"/>
      <c r="K586" s="411"/>
      <c r="L586" s="823"/>
      <c r="M586" s="824"/>
      <c r="N586" s="144"/>
    </row>
    <row r="587" spans="1:14" ht="15" hidden="1" customHeight="1">
      <c r="C587" s="804" t="s">
        <v>1490</v>
      </c>
      <c r="D587" s="812"/>
      <c r="E587" s="399" t="s">
        <v>1484</v>
      </c>
      <c r="F587" s="632"/>
      <c r="G587" s="633"/>
      <c r="H587" s="633"/>
      <c r="I587" s="633"/>
      <c r="J587" s="633"/>
      <c r="K587" s="633"/>
      <c r="L587" s="633"/>
      <c r="M587" s="724"/>
      <c r="N587" s="144"/>
    </row>
    <row r="588" spans="1:14" hidden="1">
      <c r="C588" s="813"/>
      <c r="D588" s="814"/>
      <c r="E588" s="320" t="s">
        <v>1492</v>
      </c>
      <c r="F588" s="632"/>
      <c r="G588" s="633"/>
      <c r="H588" s="633"/>
      <c r="I588" s="633"/>
      <c r="J588" s="633"/>
      <c r="K588" s="633"/>
      <c r="L588" s="633"/>
      <c r="M588" s="724"/>
      <c r="N588" s="144"/>
    </row>
    <row r="589" spans="1:14" hidden="1">
      <c r="C589" s="815"/>
      <c r="D589" s="816"/>
      <c r="E589" s="400" t="s">
        <v>1485</v>
      </c>
      <c r="F589" s="632"/>
      <c r="G589" s="633"/>
      <c r="H589" s="633"/>
      <c r="I589" s="633"/>
      <c r="J589" s="633"/>
      <c r="K589" s="633"/>
      <c r="L589" s="633"/>
      <c r="M589" s="724"/>
      <c r="N589" s="144"/>
    </row>
    <row r="590" spans="1:14" hidden="1">
      <c r="C590" s="804" t="s">
        <v>1491</v>
      </c>
      <c r="D590" s="817"/>
      <c r="E590" s="360" t="s">
        <v>1486</v>
      </c>
      <c r="F590" s="632"/>
      <c r="G590" s="633"/>
      <c r="H590" s="633"/>
      <c r="I590" s="633"/>
      <c r="J590" s="633"/>
      <c r="K590" s="633"/>
      <c r="L590" s="633"/>
      <c r="M590" s="724"/>
      <c r="N590" s="144"/>
    </row>
    <row r="591" spans="1:14" hidden="1">
      <c r="C591" s="813"/>
      <c r="D591" s="818"/>
      <c r="E591" s="360" t="s">
        <v>1487</v>
      </c>
      <c r="F591" s="632"/>
      <c r="G591" s="633"/>
      <c r="H591" s="633"/>
      <c r="I591" s="633"/>
      <c r="J591" s="633"/>
      <c r="K591" s="633"/>
      <c r="L591" s="633"/>
      <c r="M591" s="724"/>
      <c r="N591" s="144"/>
    </row>
    <row r="592" spans="1:14" hidden="1">
      <c r="C592" s="813"/>
      <c r="D592" s="818"/>
      <c r="E592" s="360" t="s">
        <v>1488</v>
      </c>
      <c r="F592" s="632"/>
      <c r="G592" s="633"/>
      <c r="H592" s="633"/>
      <c r="I592" s="633"/>
      <c r="J592" s="633"/>
      <c r="K592" s="633"/>
      <c r="L592" s="633"/>
      <c r="M592" s="724"/>
      <c r="N592" s="144"/>
    </row>
    <row r="593" spans="1:14" hidden="1">
      <c r="C593" s="815"/>
      <c r="D593" s="819"/>
      <c r="E593" s="360" t="s">
        <v>1489</v>
      </c>
      <c r="F593" s="632"/>
      <c r="G593" s="633"/>
      <c r="H593" s="633"/>
      <c r="I593" s="633"/>
      <c r="J593" s="633"/>
      <c r="K593" s="633"/>
      <c r="L593" s="633"/>
      <c r="M593" s="724"/>
      <c r="N593" s="144"/>
    </row>
    <row r="594" spans="1:14" ht="45" hidden="1" customHeight="1">
      <c r="C594" s="654" t="str">
        <f>IF($E584="No","Results of the consultation of airspace users' representatives", "Benefits for airspace users and results of the consultation of airspace users' representatives")</f>
        <v>Benefits for airspace users and results of the consultation of airspace users' representatives</v>
      </c>
      <c r="D594" s="655"/>
      <c r="E594" s="820"/>
      <c r="F594" s="809"/>
      <c r="G594" s="809"/>
      <c r="H594" s="809"/>
      <c r="I594" s="809"/>
      <c r="J594" s="809"/>
      <c r="K594" s="809"/>
      <c r="L594" s="809"/>
      <c r="M594" s="809"/>
      <c r="N594" s="144"/>
    </row>
    <row r="595" spans="1:14" hidden="1">
      <c r="C595" s="654" t="s">
        <v>996</v>
      </c>
      <c r="D595" s="655"/>
      <c r="E595" s="189" t="s">
        <v>240</v>
      </c>
      <c r="F595" s="806"/>
      <c r="G595" s="807"/>
      <c r="H595" s="807"/>
      <c r="I595" s="807"/>
      <c r="J595" s="807"/>
      <c r="K595" s="807"/>
      <c r="L595" s="807"/>
      <c r="M595" s="807"/>
      <c r="N595" s="144"/>
    </row>
    <row r="596" spans="1:14" hidden="1">
      <c r="C596" s="654" t="s">
        <v>326</v>
      </c>
      <c r="D596" s="655"/>
      <c r="E596" s="189" t="s">
        <v>240</v>
      </c>
      <c r="F596" s="806"/>
      <c r="G596" s="807"/>
      <c r="H596" s="807"/>
      <c r="I596" s="807"/>
      <c r="J596" s="807"/>
      <c r="K596" s="807"/>
      <c r="L596" s="807"/>
      <c r="M596" s="807"/>
      <c r="N596" s="144"/>
    </row>
    <row r="597" spans="1:14" ht="15" hidden="1" customHeight="1">
      <c r="C597" s="804" t="s">
        <v>997</v>
      </c>
      <c r="D597" s="805"/>
      <c r="E597" s="189" t="s">
        <v>240</v>
      </c>
      <c r="F597" s="806"/>
      <c r="G597" s="807"/>
      <c r="H597" s="807"/>
      <c r="I597" s="807"/>
      <c r="J597" s="807"/>
      <c r="K597" s="807"/>
      <c r="L597" s="807"/>
      <c r="M597" s="807"/>
      <c r="N597" s="144"/>
    </row>
    <row r="598" spans="1:14" ht="30" hidden="1" customHeight="1">
      <c r="C598" s="804" t="s">
        <v>327</v>
      </c>
      <c r="D598" s="805"/>
      <c r="E598" s="189" t="s">
        <v>240</v>
      </c>
      <c r="F598" s="806"/>
      <c r="G598" s="807"/>
      <c r="H598" s="807"/>
      <c r="I598" s="807"/>
      <c r="J598" s="807"/>
      <c r="K598" s="807"/>
      <c r="L598" s="807"/>
      <c r="M598" s="807"/>
      <c r="N598" s="144"/>
    </row>
    <row r="599" spans="1:14" ht="8.1" hidden="1" customHeight="1">
      <c r="C599" s="132"/>
      <c r="D599" s="132"/>
      <c r="E599" s="132"/>
      <c r="F599" s="132"/>
      <c r="G599" s="132"/>
      <c r="H599" s="132"/>
      <c r="I599" s="132"/>
      <c r="J599" s="132"/>
      <c r="K599" s="132"/>
      <c r="L599" s="132"/>
      <c r="M599" s="132"/>
    </row>
    <row r="600" spans="1:14" hidden="1"/>
    <row r="601" spans="1:14" hidden="1">
      <c r="A601" s="6" t="s">
        <v>693</v>
      </c>
      <c r="C601" s="798" t="s">
        <v>671</v>
      </c>
      <c r="D601" s="799"/>
      <c r="E601" s="800" t="str">
        <f>IF(C38="","",C38)</f>
        <v/>
      </c>
      <c r="F601" s="801"/>
      <c r="G601" s="801"/>
      <c r="H601" s="801"/>
      <c r="I601" s="801"/>
      <c r="J601" s="654" t="s">
        <v>322</v>
      </c>
      <c r="K601" s="655"/>
      <c r="L601" s="802">
        <f>D38</f>
        <v>0</v>
      </c>
      <c r="M601" s="803"/>
      <c r="N601" s="144"/>
    </row>
    <row r="602" spans="1:14" ht="45" hidden="1" customHeight="1">
      <c r="C602" s="654" t="s">
        <v>995</v>
      </c>
      <c r="D602" s="655"/>
      <c r="E602" s="808"/>
      <c r="F602" s="809"/>
      <c r="G602" s="809"/>
      <c r="H602" s="809"/>
      <c r="I602" s="809"/>
      <c r="J602" s="809"/>
      <c r="K602" s="809"/>
      <c r="L602" s="809"/>
      <c r="M602" s="809"/>
      <c r="N602" s="144"/>
    </row>
    <row r="603" spans="1:14" ht="60" hidden="1" customHeight="1">
      <c r="C603" s="810" t="str">
        <f>"The investment is mandated by a SES Regulation (i.e. PCP/CP1/Interoperability)?" &amp; IF($E603="yes"," Ref. to the Regulation and, if funded through Union assistance programmes, ref. to the relevant grant agreement.)","")</f>
        <v>The investment is mandated by a SES Regulation (i.e. PCP/CP1/Interoperability)?</v>
      </c>
      <c r="D603" s="811"/>
      <c r="E603" s="398" t="s">
        <v>240</v>
      </c>
      <c r="F603" s="632"/>
      <c r="G603" s="633"/>
      <c r="H603" s="633"/>
      <c r="I603" s="633"/>
      <c r="J603" s="633"/>
      <c r="K603" s="633"/>
      <c r="L603" s="633"/>
      <c r="M603" s="724"/>
      <c r="N603" s="144"/>
    </row>
    <row r="604" spans="1:14" ht="15" hidden="1" customHeight="1">
      <c r="C604" s="654" t="s">
        <v>1725</v>
      </c>
      <c r="D604" s="825"/>
      <c r="E604" s="417" t="s">
        <v>1550</v>
      </c>
      <c r="F604" s="417" t="s">
        <v>1551</v>
      </c>
      <c r="G604" s="417" t="s">
        <v>1552</v>
      </c>
      <c r="H604" s="417" t="s">
        <v>1553</v>
      </c>
      <c r="I604" s="417" t="s">
        <v>1554</v>
      </c>
      <c r="J604" s="417" t="s">
        <v>1555</v>
      </c>
      <c r="K604" s="417" t="s">
        <v>1556</v>
      </c>
      <c r="L604" s="821"/>
      <c r="M604" s="822"/>
      <c r="N604" s="144"/>
    </row>
    <row r="605" spans="1:14" ht="30" hidden="1" customHeight="1">
      <c r="C605" s="826"/>
      <c r="D605" s="827"/>
      <c r="E605" s="411"/>
      <c r="F605" s="411"/>
      <c r="G605" s="411"/>
      <c r="H605" s="411"/>
      <c r="I605" s="411"/>
      <c r="J605" s="411"/>
      <c r="K605" s="411"/>
      <c r="L605" s="823"/>
      <c r="M605" s="824"/>
      <c r="N605" s="144"/>
    </row>
    <row r="606" spans="1:14" ht="15" hidden="1" customHeight="1">
      <c r="C606" s="804" t="s">
        <v>1490</v>
      </c>
      <c r="D606" s="812"/>
      <c r="E606" s="399" t="s">
        <v>1484</v>
      </c>
      <c r="F606" s="632"/>
      <c r="G606" s="633"/>
      <c r="H606" s="633"/>
      <c r="I606" s="633"/>
      <c r="J606" s="633"/>
      <c r="K606" s="633"/>
      <c r="L606" s="633"/>
      <c r="M606" s="724"/>
      <c r="N606" s="144"/>
    </row>
    <row r="607" spans="1:14" hidden="1">
      <c r="C607" s="813"/>
      <c r="D607" s="814"/>
      <c r="E607" s="320" t="s">
        <v>1492</v>
      </c>
      <c r="F607" s="632"/>
      <c r="G607" s="633"/>
      <c r="H607" s="633"/>
      <c r="I607" s="633"/>
      <c r="J607" s="633"/>
      <c r="K607" s="633"/>
      <c r="L607" s="633"/>
      <c r="M607" s="724"/>
      <c r="N607" s="144"/>
    </row>
    <row r="608" spans="1:14" hidden="1">
      <c r="C608" s="815"/>
      <c r="D608" s="816"/>
      <c r="E608" s="400" t="s">
        <v>1485</v>
      </c>
      <c r="F608" s="632"/>
      <c r="G608" s="633"/>
      <c r="H608" s="633"/>
      <c r="I608" s="633"/>
      <c r="J608" s="633"/>
      <c r="K608" s="633"/>
      <c r="L608" s="633"/>
      <c r="M608" s="724"/>
      <c r="N608" s="144"/>
    </row>
    <row r="609" spans="1:14" hidden="1">
      <c r="C609" s="804" t="s">
        <v>1491</v>
      </c>
      <c r="D609" s="817"/>
      <c r="E609" s="360" t="s">
        <v>1486</v>
      </c>
      <c r="F609" s="632"/>
      <c r="G609" s="633"/>
      <c r="H609" s="633"/>
      <c r="I609" s="633"/>
      <c r="J609" s="633"/>
      <c r="K609" s="633"/>
      <c r="L609" s="633"/>
      <c r="M609" s="724"/>
      <c r="N609" s="144"/>
    </row>
    <row r="610" spans="1:14" hidden="1">
      <c r="C610" s="813"/>
      <c r="D610" s="818"/>
      <c r="E610" s="360" t="s">
        <v>1487</v>
      </c>
      <c r="F610" s="632"/>
      <c r="G610" s="633"/>
      <c r="H610" s="633"/>
      <c r="I610" s="633"/>
      <c r="J610" s="633"/>
      <c r="K610" s="633"/>
      <c r="L610" s="633"/>
      <c r="M610" s="724"/>
      <c r="N610" s="144"/>
    </row>
    <row r="611" spans="1:14" hidden="1">
      <c r="C611" s="813"/>
      <c r="D611" s="818"/>
      <c r="E611" s="360" t="s">
        <v>1488</v>
      </c>
      <c r="F611" s="632"/>
      <c r="G611" s="633"/>
      <c r="H611" s="633"/>
      <c r="I611" s="633"/>
      <c r="J611" s="633"/>
      <c r="K611" s="633"/>
      <c r="L611" s="633"/>
      <c r="M611" s="724"/>
      <c r="N611" s="144"/>
    </row>
    <row r="612" spans="1:14" hidden="1">
      <c r="C612" s="815"/>
      <c r="D612" s="819"/>
      <c r="E612" s="360" t="s">
        <v>1489</v>
      </c>
      <c r="F612" s="632"/>
      <c r="G612" s="633"/>
      <c r="H612" s="633"/>
      <c r="I612" s="633"/>
      <c r="J612" s="633"/>
      <c r="K612" s="633"/>
      <c r="L612" s="633"/>
      <c r="M612" s="724"/>
      <c r="N612" s="144"/>
    </row>
    <row r="613" spans="1:14" ht="45" hidden="1" customHeight="1">
      <c r="C613" s="654" t="str">
        <f>IF($E603="No","Results of the consultation of airspace users' representatives", "Benefits for airspace users and results of the consultation of airspace users' representatives")</f>
        <v>Benefits for airspace users and results of the consultation of airspace users' representatives</v>
      </c>
      <c r="D613" s="655"/>
      <c r="E613" s="820"/>
      <c r="F613" s="809"/>
      <c r="G613" s="809"/>
      <c r="H613" s="809"/>
      <c r="I613" s="809"/>
      <c r="J613" s="809"/>
      <c r="K613" s="809"/>
      <c r="L613" s="809"/>
      <c r="M613" s="809"/>
      <c r="N613" s="144"/>
    </row>
    <row r="614" spans="1:14" hidden="1">
      <c r="C614" s="654" t="s">
        <v>996</v>
      </c>
      <c r="D614" s="655"/>
      <c r="E614" s="189" t="s">
        <v>240</v>
      </c>
      <c r="F614" s="806"/>
      <c r="G614" s="807"/>
      <c r="H614" s="807"/>
      <c r="I614" s="807"/>
      <c r="J614" s="807"/>
      <c r="K614" s="807"/>
      <c r="L614" s="807"/>
      <c r="M614" s="807"/>
      <c r="N614" s="144"/>
    </row>
    <row r="615" spans="1:14" hidden="1">
      <c r="C615" s="654" t="s">
        <v>326</v>
      </c>
      <c r="D615" s="655"/>
      <c r="E615" s="189" t="s">
        <v>240</v>
      </c>
      <c r="F615" s="806"/>
      <c r="G615" s="807"/>
      <c r="H615" s="807"/>
      <c r="I615" s="807"/>
      <c r="J615" s="807"/>
      <c r="K615" s="807"/>
      <c r="L615" s="807"/>
      <c r="M615" s="807"/>
      <c r="N615" s="144"/>
    </row>
    <row r="616" spans="1:14" ht="15" hidden="1" customHeight="1">
      <c r="C616" s="804" t="s">
        <v>997</v>
      </c>
      <c r="D616" s="805"/>
      <c r="E616" s="189" t="s">
        <v>240</v>
      </c>
      <c r="F616" s="806"/>
      <c r="G616" s="807"/>
      <c r="H616" s="807"/>
      <c r="I616" s="807"/>
      <c r="J616" s="807"/>
      <c r="K616" s="807"/>
      <c r="L616" s="807"/>
      <c r="M616" s="807"/>
      <c r="N616" s="144"/>
    </row>
    <row r="617" spans="1:14" ht="30" hidden="1" customHeight="1">
      <c r="C617" s="804" t="s">
        <v>327</v>
      </c>
      <c r="D617" s="805"/>
      <c r="E617" s="189" t="s">
        <v>240</v>
      </c>
      <c r="F617" s="806"/>
      <c r="G617" s="807"/>
      <c r="H617" s="807"/>
      <c r="I617" s="807"/>
      <c r="J617" s="807"/>
      <c r="K617" s="807"/>
      <c r="L617" s="807"/>
      <c r="M617" s="807"/>
      <c r="N617" s="144"/>
    </row>
    <row r="618" spans="1:14" ht="8.1" hidden="1" customHeight="1">
      <c r="C618" s="132"/>
      <c r="D618" s="132"/>
      <c r="E618" s="132"/>
      <c r="F618" s="132"/>
      <c r="G618" s="132"/>
      <c r="H618" s="132"/>
      <c r="I618" s="132"/>
      <c r="J618" s="132"/>
      <c r="K618" s="132"/>
      <c r="L618" s="132"/>
      <c r="M618" s="132"/>
    </row>
    <row r="619" spans="1:14" hidden="1"/>
    <row r="620" spans="1:14" hidden="1">
      <c r="A620" s="6" t="s">
        <v>693</v>
      </c>
      <c r="C620" s="798" t="s">
        <v>672</v>
      </c>
      <c r="D620" s="799"/>
      <c r="E620" s="800" t="str">
        <f>IF(C39="","",C39)</f>
        <v/>
      </c>
      <c r="F620" s="801"/>
      <c r="G620" s="801"/>
      <c r="H620" s="801"/>
      <c r="I620" s="801"/>
      <c r="J620" s="654" t="s">
        <v>322</v>
      </c>
      <c r="K620" s="655"/>
      <c r="L620" s="802">
        <f>D39</f>
        <v>0</v>
      </c>
      <c r="M620" s="803"/>
      <c r="N620" s="144"/>
    </row>
    <row r="621" spans="1:14" ht="45" hidden="1" customHeight="1">
      <c r="C621" s="654" t="s">
        <v>995</v>
      </c>
      <c r="D621" s="655"/>
      <c r="E621" s="808"/>
      <c r="F621" s="809"/>
      <c r="G621" s="809"/>
      <c r="H621" s="809"/>
      <c r="I621" s="809"/>
      <c r="J621" s="809"/>
      <c r="K621" s="809"/>
      <c r="L621" s="809"/>
      <c r="M621" s="809"/>
      <c r="N621" s="144"/>
    </row>
    <row r="622" spans="1:14" ht="60" hidden="1" customHeight="1">
      <c r="C622" s="810" t="str">
        <f>"The investment is mandated by a SES Regulation (i.e. PCP/CP1/Interoperability)?" &amp; IF($E622="yes"," Ref. to the Regulation and, if funded through Union assistance programmes, ref. to the relevant grant agreement.)","")</f>
        <v>The investment is mandated by a SES Regulation (i.e. PCP/CP1/Interoperability)?</v>
      </c>
      <c r="D622" s="811"/>
      <c r="E622" s="398" t="s">
        <v>240</v>
      </c>
      <c r="F622" s="632"/>
      <c r="G622" s="633"/>
      <c r="H622" s="633"/>
      <c r="I622" s="633"/>
      <c r="J622" s="633"/>
      <c r="K622" s="633"/>
      <c r="L622" s="633"/>
      <c r="M622" s="724"/>
      <c r="N622" s="144"/>
    </row>
    <row r="623" spans="1:14" ht="15" hidden="1" customHeight="1">
      <c r="C623" s="654" t="s">
        <v>1725</v>
      </c>
      <c r="D623" s="825"/>
      <c r="E623" s="417" t="s">
        <v>1550</v>
      </c>
      <c r="F623" s="417" t="s">
        <v>1551</v>
      </c>
      <c r="G623" s="417" t="s">
        <v>1552</v>
      </c>
      <c r="H623" s="417" t="s">
        <v>1553</v>
      </c>
      <c r="I623" s="417" t="s">
        <v>1554</v>
      </c>
      <c r="J623" s="417" t="s">
        <v>1555</v>
      </c>
      <c r="K623" s="417" t="s">
        <v>1556</v>
      </c>
      <c r="L623" s="821"/>
      <c r="M623" s="822"/>
      <c r="N623" s="144"/>
    </row>
    <row r="624" spans="1:14" ht="30" hidden="1" customHeight="1">
      <c r="C624" s="826"/>
      <c r="D624" s="827"/>
      <c r="E624" s="411"/>
      <c r="F624" s="411"/>
      <c r="G624" s="411"/>
      <c r="H624" s="411"/>
      <c r="I624" s="411"/>
      <c r="J624" s="411"/>
      <c r="K624" s="411"/>
      <c r="L624" s="823"/>
      <c r="M624" s="824"/>
      <c r="N624" s="144"/>
    </row>
    <row r="625" spans="1:14" ht="15" hidden="1" customHeight="1">
      <c r="C625" s="804" t="s">
        <v>1490</v>
      </c>
      <c r="D625" s="812"/>
      <c r="E625" s="399" t="s">
        <v>1484</v>
      </c>
      <c r="F625" s="632"/>
      <c r="G625" s="633"/>
      <c r="H625" s="633"/>
      <c r="I625" s="633"/>
      <c r="J625" s="633"/>
      <c r="K625" s="633"/>
      <c r="L625" s="633"/>
      <c r="M625" s="724"/>
      <c r="N625" s="144"/>
    </row>
    <row r="626" spans="1:14" hidden="1">
      <c r="C626" s="813"/>
      <c r="D626" s="814"/>
      <c r="E626" s="320" t="s">
        <v>1492</v>
      </c>
      <c r="F626" s="632"/>
      <c r="G626" s="633"/>
      <c r="H626" s="633"/>
      <c r="I626" s="633"/>
      <c r="J626" s="633"/>
      <c r="K626" s="633"/>
      <c r="L626" s="633"/>
      <c r="M626" s="724"/>
      <c r="N626" s="144"/>
    </row>
    <row r="627" spans="1:14" hidden="1">
      <c r="C627" s="815"/>
      <c r="D627" s="816"/>
      <c r="E627" s="400" t="s">
        <v>1485</v>
      </c>
      <c r="F627" s="632"/>
      <c r="G627" s="633"/>
      <c r="H627" s="633"/>
      <c r="I627" s="633"/>
      <c r="J627" s="633"/>
      <c r="K627" s="633"/>
      <c r="L627" s="633"/>
      <c r="M627" s="724"/>
      <c r="N627" s="144"/>
    </row>
    <row r="628" spans="1:14" hidden="1">
      <c r="C628" s="804" t="s">
        <v>1491</v>
      </c>
      <c r="D628" s="817"/>
      <c r="E628" s="360" t="s">
        <v>1486</v>
      </c>
      <c r="F628" s="632"/>
      <c r="G628" s="633"/>
      <c r="H628" s="633"/>
      <c r="I628" s="633"/>
      <c r="J628" s="633"/>
      <c r="K628" s="633"/>
      <c r="L628" s="633"/>
      <c r="M628" s="724"/>
      <c r="N628" s="144"/>
    </row>
    <row r="629" spans="1:14" hidden="1">
      <c r="C629" s="813"/>
      <c r="D629" s="818"/>
      <c r="E629" s="360" t="s">
        <v>1487</v>
      </c>
      <c r="F629" s="632"/>
      <c r="G629" s="633"/>
      <c r="H629" s="633"/>
      <c r="I629" s="633"/>
      <c r="J629" s="633"/>
      <c r="K629" s="633"/>
      <c r="L629" s="633"/>
      <c r="M629" s="724"/>
      <c r="N629" s="144"/>
    </row>
    <row r="630" spans="1:14" hidden="1">
      <c r="C630" s="813"/>
      <c r="D630" s="818"/>
      <c r="E630" s="360" t="s">
        <v>1488</v>
      </c>
      <c r="F630" s="632"/>
      <c r="G630" s="633"/>
      <c r="H630" s="633"/>
      <c r="I630" s="633"/>
      <c r="J630" s="633"/>
      <c r="K630" s="633"/>
      <c r="L630" s="633"/>
      <c r="M630" s="724"/>
      <c r="N630" s="144"/>
    </row>
    <row r="631" spans="1:14" hidden="1">
      <c r="C631" s="815"/>
      <c r="D631" s="819"/>
      <c r="E631" s="360" t="s">
        <v>1489</v>
      </c>
      <c r="F631" s="632"/>
      <c r="G631" s="633"/>
      <c r="H631" s="633"/>
      <c r="I631" s="633"/>
      <c r="J631" s="633"/>
      <c r="K631" s="633"/>
      <c r="L631" s="633"/>
      <c r="M631" s="724"/>
      <c r="N631" s="144"/>
    </row>
    <row r="632" spans="1:14" ht="45" hidden="1" customHeight="1">
      <c r="C632" s="654" t="str">
        <f>IF($E622="No","Results of the consultation of airspace users' representatives", "Benefits for airspace users and results of the consultation of airspace users' representatives")</f>
        <v>Benefits for airspace users and results of the consultation of airspace users' representatives</v>
      </c>
      <c r="D632" s="655"/>
      <c r="E632" s="820"/>
      <c r="F632" s="809"/>
      <c r="G632" s="809"/>
      <c r="H632" s="809"/>
      <c r="I632" s="809"/>
      <c r="J632" s="809"/>
      <c r="K632" s="809"/>
      <c r="L632" s="809"/>
      <c r="M632" s="809"/>
      <c r="N632" s="144"/>
    </row>
    <row r="633" spans="1:14" hidden="1">
      <c r="C633" s="654" t="s">
        <v>996</v>
      </c>
      <c r="D633" s="655"/>
      <c r="E633" s="189" t="s">
        <v>240</v>
      </c>
      <c r="F633" s="806"/>
      <c r="G633" s="807"/>
      <c r="H633" s="807"/>
      <c r="I633" s="807"/>
      <c r="J633" s="807"/>
      <c r="K633" s="807"/>
      <c r="L633" s="807"/>
      <c r="M633" s="807"/>
      <c r="N633" s="144"/>
    </row>
    <row r="634" spans="1:14" hidden="1">
      <c r="C634" s="654" t="s">
        <v>326</v>
      </c>
      <c r="D634" s="655"/>
      <c r="E634" s="189" t="s">
        <v>240</v>
      </c>
      <c r="F634" s="806"/>
      <c r="G634" s="807"/>
      <c r="H634" s="807"/>
      <c r="I634" s="807"/>
      <c r="J634" s="807"/>
      <c r="K634" s="807"/>
      <c r="L634" s="807"/>
      <c r="M634" s="807"/>
      <c r="N634" s="144"/>
    </row>
    <row r="635" spans="1:14" ht="15" hidden="1" customHeight="1">
      <c r="C635" s="804" t="s">
        <v>997</v>
      </c>
      <c r="D635" s="805"/>
      <c r="E635" s="189" t="s">
        <v>240</v>
      </c>
      <c r="F635" s="806"/>
      <c r="G635" s="807"/>
      <c r="H635" s="807"/>
      <c r="I635" s="807"/>
      <c r="J635" s="807"/>
      <c r="K635" s="807"/>
      <c r="L635" s="807"/>
      <c r="M635" s="807"/>
      <c r="N635" s="144"/>
    </row>
    <row r="636" spans="1:14" ht="30" hidden="1" customHeight="1">
      <c r="C636" s="804" t="s">
        <v>327</v>
      </c>
      <c r="D636" s="805"/>
      <c r="E636" s="189" t="s">
        <v>240</v>
      </c>
      <c r="F636" s="806"/>
      <c r="G636" s="807"/>
      <c r="H636" s="807"/>
      <c r="I636" s="807"/>
      <c r="J636" s="807"/>
      <c r="K636" s="807"/>
      <c r="L636" s="807"/>
      <c r="M636" s="807"/>
      <c r="N636" s="144"/>
    </row>
    <row r="637" spans="1:14" ht="8.1" hidden="1" customHeight="1">
      <c r="C637" s="132"/>
      <c r="D637" s="132"/>
      <c r="E637" s="132"/>
      <c r="F637" s="132"/>
      <c r="G637" s="132"/>
      <c r="H637" s="132"/>
      <c r="I637" s="132"/>
      <c r="J637" s="132"/>
      <c r="K637" s="132"/>
      <c r="L637" s="132"/>
      <c r="M637" s="132"/>
    </row>
    <row r="638" spans="1:14" hidden="1"/>
    <row r="639" spans="1:14" hidden="1">
      <c r="A639" s="6" t="s">
        <v>693</v>
      </c>
      <c r="C639" s="798" t="s">
        <v>674</v>
      </c>
      <c r="D639" s="799"/>
      <c r="E639" s="800" t="str">
        <f>IF(C40="","",C40)</f>
        <v/>
      </c>
      <c r="F639" s="801"/>
      <c r="G639" s="801"/>
      <c r="H639" s="801"/>
      <c r="I639" s="801"/>
      <c r="J639" s="654" t="s">
        <v>322</v>
      </c>
      <c r="K639" s="655"/>
      <c r="L639" s="802">
        <f>D40</f>
        <v>0</v>
      </c>
      <c r="M639" s="803"/>
      <c r="N639" s="144"/>
    </row>
    <row r="640" spans="1:14" ht="45" hidden="1" customHeight="1">
      <c r="C640" s="654" t="s">
        <v>995</v>
      </c>
      <c r="D640" s="655"/>
      <c r="E640" s="808"/>
      <c r="F640" s="809"/>
      <c r="G640" s="809"/>
      <c r="H640" s="809"/>
      <c r="I640" s="809"/>
      <c r="J640" s="809"/>
      <c r="K640" s="809"/>
      <c r="L640" s="809"/>
      <c r="M640" s="809"/>
      <c r="N640" s="144"/>
    </row>
    <row r="641" spans="3:14" ht="60" hidden="1" customHeight="1">
      <c r="C641" s="810" t="str">
        <f>"The investment is mandated by a SES Regulation (i.e. PCP/CP1/Interoperability)?" &amp; IF($E641="yes"," Ref. to the Regulation and, if funded through Union assistance programmes, ref. to the relevant grant agreement.)","")</f>
        <v>The investment is mandated by a SES Regulation (i.e. PCP/CP1/Interoperability)?</v>
      </c>
      <c r="D641" s="811"/>
      <c r="E641" s="398" t="s">
        <v>240</v>
      </c>
      <c r="F641" s="632"/>
      <c r="G641" s="633"/>
      <c r="H641" s="633"/>
      <c r="I641" s="633"/>
      <c r="J641" s="633"/>
      <c r="K641" s="633"/>
      <c r="L641" s="633"/>
      <c r="M641" s="724"/>
      <c r="N641" s="144"/>
    </row>
    <row r="642" spans="3:14" ht="15" hidden="1" customHeight="1">
      <c r="C642" s="654" t="s">
        <v>1725</v>
      </c>
      <c r="D642" s="825"/>
      <c r="E642" s="417" t="s">
        <v>1550</v>
      </c>
      <c r="F642" s="417" t="s">
        <v>1551</v>
      </c>
      <c r="G642" s="417" t="s">
        <v>1552</v>
      </c>
      <c r="H642" s="417" t="s">
        <v>1553</v>
      </c>
      <c r="I642" s="417" t="s">
        <v>1554</v>
      </c>
      <c r="J642" s="417" t="s">
        <v>1555</v>
      </c>
      <c r="K642" s="417" t="s">
        <v>1556</v>
      </c>
      <c r="L642" s="821"/>
      <c r="M642" s="822"/>
      <c r="N642" s="144"/>
    </row>
    <row r="643" spans="3:14" ht="30" hidden="1" customHeight="1">
      <c r="C643" s="826"/>
      <c r="D643" s="827"/>
      <c r="E643" s="411"/>
      <c r="F643" s="411"/>
      <c r="G643" s="411"/>
      <c r="H643" s="411"/>
      <c r="I643" s="411"/>
      <c r="J643" s="411"/>
      <c r="K643" s="411"/>
      <c r="L643" s="823"/>
      <c r="M643" s="824"/>
      <c r="N643" s="144"/>
    </row>
    <row r="644" spans="3:14" ht="15" hidden="1" customHeight="1">
      <c r="C644" s="804" t="s">
        <v>1490</v>
      </c>
      <c r="D644" s="812"/>
      <c r="E644" s="399" t="s">
        <v>1484</v>
      </c>
      <c r="F644" s="632"/>
      <c r="G644" s="633"/>
      <c r="H644" s="633"/>
      <c r="I644" s="633"/>
      <c r="J644" s="633"/>
      <c r="K644" s="633"/>
      <c r="L644" s="633"/>
      <c r="M644" s="724"/>
      <c r="N644" s="144"/>
    </row>
    <row r="645" spans="3:14" hidden="1">
      <c r="C645" s="813"/>
      <c r="D645" s="814"/>
      <c r="E645" s="320" t="s">
        <v>1492</v>
      </c>
      <c r="F645" s="632"/>
      <c r="G645" s="633"/>
      <c r="H645" s="633"/>
      <c r="I645" s="633"/>
      <c r="J645" s="633"/>
      <c r="K645" s="633"/>
      <c r="L645" s="633"/>
      <c r="M645" s="724"/>
      <c r="N645" s="144"/>
    </row>
    <row r="646" spans="3:14" hidden="1">
      <c r="C646" s="815"/>
      <c r="D646" s="816"/>
      <c r="E646" s="400" t="s">
        <v>1485</v>
      </c>
      <c r="F646" s="632"/>
      <c r="G646" s="633"/>
      <c r="H646" s="633"/>
      <c r="I646" s="633"/>
      <c r="J646" s="633"/>
      <c r="K646" s="633"/>
      <c r="L646" s="633"/>
      <c r="M646" s="724"/>
      <c r="N646" s="144"/>
    </row>
    <row r="647" spans="3:14" hidden="1">
      <c r="C647" s="804" t="s">
        <v>1491</v>
      </c>
      <c r="D647" s="817"/>
      <c r="E647" s="360" t="s">
        <v>1486</v>
      </c>
      <c r="F647" s="632"/>
      <c r="G647" s="633"/>
      <c r="H647" s="633"/>
      <c r="I647" s="633"/>
      <c r="J647" s="633"/>
      <c r="K647" s="633"/>
      <c r="L647" s="633"/>
      <c r="M647" s="724"/>
      <c r="N647" s="144"/>
    </row>
    <row r="648" spans="3:14" hidden="1">
      <c r="C648" s="813"/>
      <c r="D648" s="818"/>
      <c r="E648" s="360" t="s">
        <v>1487</v>
      </c>
      <c r="F648" s="632"/>
      <c r="G648" s="633"/>
      <c r="H648" s="633"/>
      <c r="I648" s="633"/>
      <c r="J648" s="633"/>
      <c r="K648" s="633"/>
      <c r="L648" s="633"/>
      <c r="M648" s="724"/>
      <c r="N648" s="144"/>
    </row>
    <row r="649" spans="3:14" hidden="1">
      <c r="C649" s="813"/>
      <c r="D649" s="818"/>
      <c r="E649" s="360" t="s">
        <v>1488</v>
      </c>
      <c r="F649" s="632"/>
      <c r="G649" s="633"/>
      <c r="H649" s="633"/>
      <c r="I649" s="633"/>
      <c r="J649" s="633"/>
      <c r="K649" s="633"/>
      <c r="L649" s="633"/>
      <c r="M649" s="724"/>
      <c r="N649" s="144"/>
    </row>
    <row r="650" spans="3:14" hidden="1">
      <c r="C650" s="815"/>
      <c r="D650" s="819"/>
      <c r="E650" s="360" t="s">
        <v>1489</v>
      </c>
      <c r="F650" s="632"/>
      <c r="G650" s="633"/>
      <c r="H650" s="633"/>
      <c r="I650" s="633"/>
      <c r="J650" s="633"/>
      <c r="K650" s="633"/>
      <c r="L650" s="633"/>
      <c r="M650" s="724"/>
      <c r="N650" s="144"/>
    </row>
    <row r="651" spans="3:14" ht="45" hidden="1" customHeight="1">
      <c r="C651" s="654" t="str">
        <f>IF($E641="No","Results of the consultation of airspace users' representatives", "Benefits for airspace users and results of the consultation of airspace users' representatives")</f>
        <v>Benefits for airspace users and results of the consultation of airspace users' representatives</v>
      </c>
      <c r="D651" s="655"/>
      <c r="E651" s="820"/>
      <c r="F651" s="809"/>
      <c r="G651" s="809"/>
      <c r="H651" s="809"/>
      <c r="I651" s="809"/>
      <c r="J651" s="809"/>
      <c r="K651" s="809"/>
      <c r="L651" s="809"/>
      <c r="M651" s="809"/>
      <c r="N651" s="144"/>
    </row>
    <row r="652" spans="3:14" hidden="1">
      <c r="C652" s="654" t="s">
        <v>996</v>
      </c>
      <c r="D652" s="655"/>
      <c r="E652" s="189" t="s">
        <v>240</v>
      </c>
      <c r="F652" s="806"/>
      <c r="G652" s="807"/>
      <c r="H652" s="807"/>
      <c r="I652" s="807"/>
      <c r="J652" s="807"/>
      <c r="K652" s="807"/>
      <c r="L652" s="807"/>
      <c r="M652" s="807"/>
      <c r="N652" s="144"/>
    </row>
    <row r="653" spans="3:14" hidden="1">
      <c r="C653" s="654" t="s">
        <v>326</v>
      </c>
      <c r="D653" s="655"/>
      <c r="E653" s="189" t="s">
        <v>240</v>
      </c>
      <c r="F653" s="806"/>
      <c r="G653" s="807"/>
      <c r="H653" s="807"/>
      <c r="I653" s="807"/>
      <c r="J653" s="807"/>
      <c r="K653" s="807"/>
      <c r="L653" s="807"/>
      <c r="M653" s="807"/>
      <c r="N653" s="144"/>
    </row>
    <row r="654" spans="3:14" ht="15" hidden="1" customHeight="1">
      <c r="C654" s="804" t="s">
        <v>997</v>
      </c>
      <c r="D654" s="805"/>
      <c r="E654" s="189" t="s">
        <v>240</v>
      </c>
      <c r="F654" s="806"/>
      <c r="G654" s="807"/>
      <c r="H654" s="807"/>
      <c r="I654" s="807"/>
      <c r="J654" s="807"/>
      <c r="K654" s="807"/>
      <c r="L654" s="807"/>
      <c r="M654" s="807"/>
      <c r="N654" s="144"/>
    </row>
    <row r="655" spans="3:14" ht="30" hidden="1" customHeight="1">
      <c r="C655" s="804" t="s">
        <v>327</v>
      </c>
      <c r="D655" s="805"/>
      <c r="E655" s="189" t="s">
        <v>240</v>
      </c>
      <c r="F655" s="806"/>
      <c r="G655" s="807"/>
      <c r="H655" s="807"/>
      <c r="I655" s="807"/>
      <c r="J655" s="807"/>
      <c r="K655" s="807"/>
      <c r="L655" s="807"/>
      <c r="M655" s="807"/>
      <c r="N655" s="144"/>
    </row>
    <row r="656" spans="3:14" ht="8.1" hidden="1" customHeight="1">
      <c r="C656" s="132"/>
      <c r="D656" s="132"/>
      <c r="E656" s="132"/>
      <c r="F656" s="132"/>
      <c r="G656" s="132"/>
      <c r="H656" s="132"/>
      <c r="I656" s="132"/>
      <c r="J656" s="132"/>
      <c r="K656" s="132"/>
      <c r="L656" s="132"/>
      <c r="M656" s="132"/>
    </row>
    <row r="657" spans="1:14" hidden="1"/>
    <row r="658" spans="1:14" hidden="1">
      <c r="A658" s="6" t="s">
        <v>693</v>
      </c>
      <c r="C658" s="798" t="s">
        <v>675</v>
      </c>
      <c r="D658" s="799"/>
      <c r="E658" s="800" t="str">
        <f>IF(C41="","",C41)</f>
        <v/>
      </c>
      <c r="F658" s="801"/>
      <c r="G658" s="801"/>
      <c r="H658" s="801"/>
      <c r="I658" s="801"/>
      <c r="J658" s="654" t="s">
        <v>322</v>
      </c>
      <c r="K658" s="655"/>
      <c r="L658" s="802">
        <f>D41</f>
        <v>0</v>
      </c>
      <c r="M658" s="803"/>
      <c r="N658" s="144"/>
    </row>
    <row r="659" spans="1:14" ht="45" hidden="1" customHeight="1">
      <c r="C659" s="654" t="s">
        <v>995</v>
      </c>
      <c r="D659" s="655"/>
      <c r="E659" s="808"/>
      <c r="F659" s="809"/>
      <c r="G659" s="809"/>
      <c r="H659" s="809"/>
      <c r="I659" s="809"/>
      <c r="J659" s="809"/>
      <c r="K659" s="809"/>
      <c r="L659" s="809"/>
      <c r="M659" s="809"/>
      <c r="N659" s="144"/>
    </row>
    <row r="660" spans="1:14" ht="60" hidden="1" customHeight="1">
      <c r="C660" s="810" t="str">
        <f>"The investment is mandated by a SES Regulation (i.e. PCP/CP1/Interoperability)?" &amp; IF($E660="yes"," Ref. to the Regulation and, if funded through Union assistance programmes, ref. to the relevant grant agreement.)","")</f>
        <v>The investment is mandated by a SES Regulation (i.e. PCP/CP1/Interoperability)?</v>
      </c>
      <c r="D660" s="811"/>
      <c r="E660" s="398" t="s">
        <v>240</v>
      </c>
      <c r="F660" s="632"/>
      <c r="G660" s="633"/>
      <c r="H660" s="633"/>
      <c r="I660" s="633"/>
      <c r="J660" s="633"/>
      <c r="K660" s="633"/>
      <c r="L660" s="633"/>
      <c r="M660" s="724"/>
      <c r="N660" s="144"/>
    </row>
    <row r="661" spans="1:14" ht="15" hidden="1" customHeight="1">
      <c r="C661" s="654" t="s">
        <v>1725</v>
      </c>
      <c r="D661" s="825"/>
      <c r="E661" s="417" t="s">
        <v>1550</v>
      </c>
      <c r="F661" s="417" t="s">
        <v>1551</v>
      </c>
      <c r="G661" s="417" t="s">
        <v>1552</v>
      </c>
      <c r="H661" s="417" t="s">
        <v>1553</v>
      </c>
      <c r="I661" s="417" t="s">
        <v>1554</v>
      </c>
      <c r="J661" s="417" t="s">
        <v>1555</v>
      </c>
      <c r="K661" s="417" t="s">
        <v>1556</v>
      </c>
      <c r="L661" s="821"/>
      <c r="M661" s="822"/>
      <c r="N661" s="144"/>
    </row>
    <row r="662" spans="1:14" ht="30" hidden="1" customHeight="1">
      <c r="C662" s="826"/>
      <c r="D662" s="827"/>
      <c r="E662" s="411"/>
      <c r="F662" s="411"/>
      <c r="G662" s="411"/>
      <c r="H662" s="411"/>
      <c r="I662" s="411"/>
      <c r="J662" s="411"/>
      <c r="K662" s="411"/>
      <c r="L662" s="823"/>
      <c r="M662" s="824"/>
      <c r="N662" s="144"/>
    </row>
    <row r="663" spans="1:14" ht="15" hidden="1" customHeight="1">
      <c r="C663" s="804" t="s">
        <v>1490</v>
      </c>
      <c r="D663" s="812"/>
      <c r="E663" s="399" t="s">
        <v>1484</v>
      </c>
      <c r="F663" s="632"/>
      <c r="G663" s="633"/>
      <c r="H663" s="633"/>
      <c r="I663" s="633"/>
      <c r="J663" s="633"/>
      <c r="K663" s="633"/>
      <c r="L663" s="633"/>
      <c r="M663" s="724"/>
      <c r="N663" s="144"/>
    </row>
    <row r="664" spans="1:14" hidden="1">
      <c r="C664" s="813"/>
      <c r="D664" s="814"/>
      <c r="E664" s="320" t="s">
        <v>1492</v>
      </c>
      <c r="F664" s="632"/>
      <c r="G664" s="633"/>
      <c r="H664" s="633"/>
      <c r="I664" s="633"/>
      <c r="J664" s="633"/>
      <c r="K664" s="633"/>
      <c r="L664" s="633"/>
      <c r="M664" s="724"/>
      <c r="N664" s="144"/>
    </row>
    <row r="665" spans="1:14" hidden="1">
      <c r="C665" s="815"/>
      <c r="D665" s="816"/>
      <c r="E665" s="400" t="s">
        <v>1485</v>
      </c>
      <c r="F665" s="632"/>
      <c r="G665" s="633"/>
      <c r="H665" s="633"/>
      <c r="I665" s="633"/>
      <c r="J665" s="633"/>
      <c r="K665" s="633"/>
      <c r="L665" s="633"/>
      <c r="M665" s="724"/>
      <c r="N665" s="144"/>
    </row>
    <row r="666" spans="1:14" hidden="1">
      <c r="C666" s="804" t="s">
        <v>1491</v>
      </c>
      <c r="D666" s="817"/>
      <c r="E666" s="360" t="s">
        <v>1486</v>
      </c>
      <c r="F666" s="632"/>
      <c r="G666" s="633"/>
      <c r="H666" s="633"/>
      <c r="I666" s="633"/>
      <c r="J666" s="633"/>
      <c r="K666" s="633"/>
      <c r="L666" s="633"/>
      <c r="M666" s="724"/>
      <c r="N666" s="144"/>
    </row>
    <row r="667" spans="1:14" hidden="1">
      <c r="C667" s="813"/>
      <c r="D667" s="818"/>
      <c r="E667" s="360" t="s">
        <v>1487</v>
      </c>
      <c r="F667" s="632"/>
      <c r="G667" s="633"/>
      <c r="H667" s="633"/>
      <c r="I667" s="633"/>
      <c r="J667" s="633"/>
      <c r="K667" s="633"/>
      <c r="L667" s="633"/>
      <c r="M667" s="724"/>
      <c r="N667" s="144"/>
    </row>
    <row r="668" spans="1:14" hidden="1">
      <c r="C668" s="813"/>
      <c r="D668" s="818"/>
      <c r="E668" s="360" t="s">
        <v>1488</v>
      </c>
      <c r="F668" s="632"/>
      <c r="G668" s="633"/>
      <c r="H668" s="633"/>
      <c r="I668" s="633"/>
      <c r="J668" s="633"/>
      <c r="K668" s="633"/>
      <c r="L668" s="633"/>
      <c r="M668" s="724"/>
      <c r="N668" s="144"/>
    </row>
    <row r="669" spans="1:14" hidden="1">
      <c r="C669" s="815"/>
      <c r="D669" s="819"/>
      <c r="E669" s="360" t="s">
        <v>1489</v>
      </c>
      <c r="F669" s="632"/>
      <c r="G669" s="633"/>
      <c r="H669" s="633"/>
      <c r="I669" s="633"/>
      <c r="J669" s="633"/>
      <c r="K669" s="633"/>
      <c r="L669" s="633"/>
      <c r="M669" s="724"/>
      <c r="N669" s="144"/>
    </row>
    <row r="670" spans="1:14" ht="45" hidden="1" customHeight="1">
      <c r="C670" s="654" t="str">
        <f>IF($E660="No","Results of the consultation of airspace users' representatives", "Benefits for airspace users and results of the consultation of airspace users' representatives")</f>
        <v>Benefits for airspace users and results of the consultation of airspace users' representatives</v>
      </c>
      <c r="D670" s="655"/>
      <c r="E670" s="820"/>
      <c r="F670" s="809"/>
      <c r="G670" s="809"/>
      <c r="H670" s="809"/>
      <c r="I670" s="809"/>
      <c r="J670" s="809"/>
      <c r="K670" s="809"/>
      <c r="L670" s="809"/>
      <c r="M670" s="809"/>
      <c r="N670" s="144"/>
    </row>
    <row r="671" spans="1:14" hidden="1">
      <c r="C671" s="654" t="s">
        <v>996</v>
      </c>
      <c r="D671" s="655"/>
      <c r="E671" s="189" t="s">
        <v>240</v>
      </c>
      <c r="F671" s="806"/>
      <c r="G671" s="807"/>
      <c r="H671" s="807"/>
      <c r="I671" s="807"/>
      <c r="J671" s="807"/>
      <c r="K671" s="807"/>
      <c r="L671" s="807"/>
      <c r="M671" s="807"/>
      <c r="N671" s="144"/>
    </row>
    <row r="672" spans="1:14" hidden="1">
      <c r="C672" s="654" t="s">
        <v>326</v>
      </c>
      <c r="D672" s="655"/>
      <c r="E672" s="189" t="s">
        <v>240</v>
      </c>
      <c r="F672" s="806"/>
      <c r="G672" s="807"/>
      <c r="H672" s="807"/>
      <c r="I672" s="807"/>
      <c r="J672" s="807"/>
      <c r="K672" s="807"/>
      <c r="L672" s="807"/>
      <c r="M672" s="807"/>
      <c r="N672" s="144"/>
    </row>
    <row r="673" spans="1:14" ht="15" hidden="1" customHeight="1">
      <c r="C673" s="804" t="s">
        <v>997</v>
      </c>
      <c r="D673" s="805"/>
      <c r="E673" s="189" t="s">
        <v>240</v>
      </c>
      <c r="F673" s="806"/>
      <c r="G673" s="807"/>
      <c r="H673" s="807"/>
      <c r="I673" s="807"/>
      <c r="J673" s="807"/>
      <c r="K673" s="807"/>
      <c r="L673" s="807"/>
      <c r="M673" s="807"/>
      <c r="N673" s="144"/>
    </row>
    <row r="674" spans="1:14" ht="30" hidden="1" customHeight="1">
      <c r="C674" s="804" t="s">
        <v>327</v>
      </c>
      <c r="D674" s="805"/>
      <c r="E674" s="189" t="s">
        <v>240</v>
      </c>
      <c r="F674" s="806"/>
      <c r="G674" s="807"/>
      <c r="H674" s="807"/>
      <c r="I674" s="807"/>
      <c r="J674" s="807"/>
      <c r="K674" s="807"/>
      <c r="L674" s="807"/>
      <c r="M674" s="807"/>
      <c r="N674" s="144"/>
    </row>
    <row r="675" spans="1:14" ht="8.1" hidden="1" customHeight="1">
      <c r="C675" s="132"/>
      <c r="D675" s="132"/>
      <c r="E675" s="132"/>
      <c r="F675" s="132"/>
      <c r="G675" s="132"/>
      <c r="H675" s="132"/>
      <c r="I675" s="132"/>
      <c r="J675" s="132"/>
      <c r="K675" s="132"/>
      <c r="L675" s="132"/>
      <c r="M675" s="132"/>
    </row>
    <row r="676" spans="1:14" hidden="1"/>
    <row r="677" spans="1:14" hidden="1">
      <c r="A677" s="6" t="s">
        <v>693</v>
      </c>
      <c r="C677" s="798" t="s">
        <v>676</v>
      </c>
      <c r="D677" s="799"/>
      <c r="E677" s="800" t="str">
        <f>IF(C42="","",C42)</f>
        <v/>
      </c>
      <c r="F677" s="801"/>
      <c r="G677" s="801"/>
      <c r="H677" s="801"/>
      <c r="I677" s="801"/>
      <c r="J677" s="654" t="s">
        <v>322</v>
      </c>
      <c r="K677" s="655"/>
      <c r="L677" s="802">
        <f>D42</f>
        <v>0</v>
      </c>
      <c r="M677" s="803"/>
      <c r="N677" s="144"/>
    </row>
    <row r="678" spans="1:14" ht="45" hidden="1" customHeight="1">
      <c r="C678" s="654" t="s">
        <v>995</v>
      </c>
      <c r="D678" s="655"/>
      <c r="E678" s="808"/>
      <c r="F678" s="809"/>
      <c r="G678" s="809"/>
      <c r="H678" s="809"/>
      <c r="I678" s="809"/>
      <c r="J678" s="809"/>
      <c r="K678" s="809"/>
      <c r="L678" s="809"/>
      <c r="M678" s="809"/>
      <c r="N678" s="144"/>
    </row>
    <row r="679" spans="1:14" ht="60" hidden="1" customHeight="1">
      <c r="C679" s="810" t="str">
        <f>"The investment is mandated by a SES Regulation (i.e. PCP/CP1/Interoperability)?" &amp; IF($E679="yes"," Ref. to the Regulation and, if funded through Union assistance programmes, ref. to the relevant grant agreement.)","")</f>
        <v>The investment is mandated by a SES Regulation (i.e. PCP/CP1/Interoperability)?</v>
      </c>
      <c r="D679" s="811"/>
      <c r="E679" s="398" t="s">
        <v>240</v>
      </c>
      <c r="F679" s="632"/>
      <c r="G679" s="633"/>
      <c r="H679" s="633"/>
      <c r="I679" s="633"/>
      <c r="J679" s="633"/>
      <c r="K679" s="633"/>
      <c r="L679" s="633"/>
      <c r="M679" s="724"/>
      <c r="N679" s="144"/>
    </row>
    <row r="680" spans="1:14" ht="15" hidden="1" customHeight="1">
      <c r="C680" s="654" t="s">
        <v>1725</v>
      </c>
      <c r="D680" s="825"/>
      <c r="E680" s="417" t="s">
        <v>1550</v>
      </c>
      <c r="F680" s="417" t="s">
        <v>1551</v>
      </c>
      <c r="G680" s="417" t="s">
        <v>1552</v>
      </c>
      <c r="H680" s="417" t="s">
        <v>1553</v>
      </c>
      <c r="I680" s="417" t="s">
        <v>1554</v>
      </c>
      <c r="J680" s="417" t="s">
        <v>1555</v>
      </c>
      <c r="K680" s="417" t="s">
        <v>1556</v>
      </c>
      <c r="L680" s="821"/>
      <c r="M680" s="822"/>
      <c r="N680" s="144"/>
    </row>
    <row r="681" spans="1:14" ht="30" hidden="1" customHeight="1">
      <c r="C681" s="826"/>
      <c r="D681" s="827"/>
      <c r="E681" s="411"/>
      <c r="F681" s="411"/>
      <c r="G681" s="411"/>
      <c r="H681" s="411"/>
      <c r="I681" s="411"/>
      <c r="J681" s="411"/>
      <c r="K681" s="411"/>
      <c r="L681" s="823"/>
      <c r="M681" s="824"/>
      <c r="N681" s="144"/>
    </row>
    <row r="682" spans="1:14" ht="15" hidden="1" customHeight="1">
      <c r="C682" s="804" t="s">
        <v>1490</v>
      </c>
      <c r="D682" s="812"/>
      <c r="E682" s="399" t="s">
        <v>1484</v>
      </c>
      <c r="F682" s="632"/>
      <c r="G682" s="633"/>
      <c r="H682" s="633"/>
      <c r="I682" s="633"/>
      <c r="J682" s="633"/>
      <c r="K682" s="633"/>
      <c r="L682" s="633"/>
      <c r="M682" s="724"/>
      <c r="N682" s="144"/>
    </row>
    <row r="683" spans="1:14" hidden="1">
      <c r="C683" s="813"/>
      <c r="D683" s="814"/>
      <c r="E683" s="320" t="s">
        <v>1492</v>
      </c>
      <c r="F683" s="632"/>
      <c r="G683" s="633"/>
      <c r="H683" s="633"/>
      <c r="I683" s="633"/>
      <c r="J683" s="633"/>
      <c r="K683" s="633"/>
      <c r="L683" s="633"/>
      <c r="M683" s="724"/>
      <c r="N683" s="144"/>
    </row>
    <row r="684" spans="1:14" hidden="1">
      <c r="C684" s="815"/>
      <c r="D684" s="816"/>
      <c r="E684" s="400" t="s">
        <v>1485</v>
      </c>
      <c r="F684" s="632"/>
      <c r="G684" s="633"/>
      <c r="H684" s="633"/>
      <c r="I684" s="633"/>
      <c r="J684" s="633"/>
      <c r="K684" s="633"/>
      <c r="L684" s="633"/>
      <c r="M684" s="724"/>
      <c r="N684" s="144"/>
    </row>
    <row r="685" spans="1:14" hidden="1">
      <c r="C685" s="804" t="s">
        <v>1491</v>
      </c>
      <c r="D685" s="817"/>
      <c r="E685" s="360" t="s">
        <v>1486</v>
      </c>
      <c r="F685" s="632"/>
      <c r="G685" s="633"/>
      <c r="H685" s="633"/>
      <c r="I685" s="633"/>
      <c r="J685" s="633"/>
      <c r="K685" s="633"/>
      <c r="L685" s="633"/>
      <c r="M685" s="724"/>
      <c r="N685" s="144"/>
    </row>
    <row r="686" spans="1:14" hidden="1">
      <c r="C686" s="813"/>
      <c r="D686" s="818"/>
      <c r="E686" s="360" t="s">
        <v>1487</v>
      </c>
      <c r="F686" s="632"/>
      <c r="G686" s="633"/>
      <c r="H686" s="633"/>
      <c r="I686" s="633"/>
      <c r="J686" s="633"/>
      <c r="K686" s="633"/>
      <c r="L686" s="633"/>
      <c r="M686" s="724"/>
      <c r="N686" s="144"/>
    </row>
    <row r="687" spans="1:14" hidden="1">
      <c r="C687" s="813"/>
      <c r="D687" s="818"/>
      <c r="E687" s="360" t="s">
        <v>1488</v>
      </c>
      <c r="F687" s="632"/>
      <c r="G687" s="633"/>
      <c r="H687" s="633"/>
      <c r="I687" s="633"/>
      <c r="J687" s="633"/>
      <c r="K687" s="633"/>
      <c r="L687" s="633"/>
      <c r="M687" s="724"/>
      <c r="N687" s="144"/>
    </row>
    <row r="688" spans="1:14" hidden="1">
      <c r="C688" s="815"/>
      <c r="D688" s="819"/>
      <c r="E688" s="360" t="s">
        <v>1489</v>
      </c>
      <c r="F688" s="632"/>
      <c r="G688" s="633"/>
      <c r="H688" s="633"/>
      <c r="I688" s="633"/>
      <c r="J688" s="633"/>
      <c r="K688" s="633"/>
      <c r="L688" s="633"/>
      <c r="M688" s="724"/>
      <c r="N688" s="144"/>
    </row>
    <row r="689" spans="1:14" ht="45" hidden="1" customHeight="1">
      <c r="C689" s="654" t="str">
        <f>IF($E679="No","Results of the consultation of airspace users' representatives", "Benefits for airspace users and results of the consultation of airspace users' representatives")</f>
        <v>Benefits for airspace users and results of the consultation of airspace users' representatives</v>
      </c>
      <c r="D689" s="655"/>
      <c r="E689" s="820"/>
      <c r="F689" s="809"/>
      <c r="G689" s="809"/>
      <c r="H689" s="809"/>
      <c r="I689" s="809"/>
      <c r="J689" s="809"/>
      <c r="K689" s="809"/>
      <c r="L689" s="809"/>
      <c r="M689" s="809"/>
      <c r="N689" s="144"/>
    </row>
    <row r="690" spans="1:14" hidden="1">
      <c r="C690" s="654" t="s">
        <v>996</v>
      </c>
      <c r="D690" s="655"/>
      <c r="E690" s="189" t="s">
        <v>240</v>
      </c>
      <c r="F690" s="806"/>
      <c r="G690" s="807"/>
      <c r="H690" s="807"/>
      <c r="I690" s="807"/>
      <c r="J690" s="807"/>
      <c r="K690" s="807"/>
      <c r="L690" s="807"/>
      <c r="M690" s="807"/>
      <c r="N690" s="144"/>
    </row>
    <row r="691" spans="1:14" hidden="1">
      <c r="C691" s="654" t="s">
        <v>326</v>
      </c>
      <c r="D691" s="655"/>
      <c r="E691" s="189" t="s">
        <v>240</v>
      </c>
      <c r="F691" s="806"/>
      <c r="G691" s="807"/>
      <c r="H691" s="807"/>
      <c r="I691" s="807"/>
      <c r="J691" s="807"/>
      <c r="K691" s="807"/>
      <c r="L691" s="807"/>
      <c r="M691" s="807"/>
      <c r="N691" s="144"/>
    </row>
    <row r="692" spans="1:14" ht="15" hidden="1" customHeight="1">
      <c r="C692" s="804" t="s">
        <v>997</v>
      </c>
      <c r="D692" s="805"/>
      <c r="E692" s="189" t="s">
        <v>240</v>
      </c>
      <c r="F692" s="806"/>
      <c r="G692" s="807"/>
      <c r="H692" s="807"/>
      <c r="I692" s="807"/>
      <c r="J692" s="807"/>
      <c r="K692" s="807"/>
      <c r="L692" s="807"/>
      <c r="M692" s="807"/>
      <c r="N692" s="144"/>
    </row>
    <row r="693" spans="1:14" ht="30" hidden="1" customHeight="1">
      <c r="C693" s="804" t="s">
        <v>327</v>
      </c>
      <c r="D693" s="805"/>
      <c r="E693" s="189" t="s">
        <v>240</v>
      </c>
      <c r="F693" s="806"/>
      <c r="G693" s="807"/>
      <c r="H693" s="807"/>
      <c r="I693" s="807"/>
      <c r="J693" s="807"/>
      <c r="K693" s="807"/>
      <c r="L693" s="807"/>
      <c r="M693" s="807"/>
      <c r="N693" s="144"/>
    </row>
    <row r="694" spans="1:14" ht="8.1" hidden="1" customHeight="1">
      <c r="C694" s="132"/>
      <c r="D694" s="132"/>
      <c r="E694" s="132"/>
      <c r="F694" s="132"/>
      <c r="G694" s="132"/>
      <c r="H694" s="132"/>
      <c r="I694" s="132"/>
      <c r="J694" s="132"/>
      <c r="K694" s="132"/>
      <c r="L694" s="132"/>
      <c r="M694" s="132"/>
    </row>
    <row r="695" spans="1:14" hidden="1"/>
    <row r="696" spans="1:14" hidden="1">
      <c r="A696" s="6" t="s">
        <v>693</v>
      </c>
      <c r="C696" s="798" t="s">
        <v>677</v>
      </c>
      <c r="D696" s="799"/>
      <c r="E696" s="800" t="str">
        <f>IF(C43="","",C43)</f>
        <v/>
      </c>
      <c r="F696" s="801"/>
      <c r="G696" s="801"/>
      <c r="H696" s="801"/>
      <c r="I696" s="801"/>
      <c r="J696" s="654" t="s">
        <v>322</v>
      </c>
      <c r="K696" s="655"/>
      <c r="L696" s="802">
        <f>D43</f>
        <v>0</v>
      </c>
      <c r="M696" s="803"/>
      <c r="N696" s="144"/>
    </row>
    <row r="697" spans="1:14" ht="45" hidden="1" customHeight="1">
      <c r="C697" s="654" t="s">
        <v>995</v>
      </c>
      <c r="D697" s="655"/>
      <c r="E697" s="808"/>
      <c r="F697" s="809"/>
      <c r="G697" s="809"/>
      <c r="H697" s="809"/>
      <c r="I697" s="809"/>
      <c r="J697" s="809"/>
      <c r="K697" s="809"/>
      <c r="L697" s="809"/>
      <c r="M697" s="809"/>
      <c r="N697" s="144"/>
    </row>
    <row r="698" spans="1:14" ht="60" hidden="1" customHeight="1">
      <c r="C698" s="810" t="str">
        <f>"The investment is mandated by a SES Regulation (i.e. PCP/CP1/Interoperability)?" &amp; IF($E698="yes"," Ref. to the Regulation and, if funded through Union assistance programmes, ref. to the relevant grant agreement.)","")</f>
        <v>The investment is mandated by a SES Regulation (i.e. PCP/CP1/Interoperability)?</v>
      </c>
      <c r="D698" s="811"/>
      <c r="E698" s="398" t="s">
        <v>240</v>
      </c>
      <c r="F698" s="632"/>
      <c r="G698" s="633"/>
      <c r="H698" s="633"/>
      <c r="I698" s="633"/>
      <c r="J698" s="633"/>
      <c r="K698" s="633"/>
      <c r="L698" s="633"/>
      <c r="M698" s="724"/>
      <c r="N698" s="144"/>
    </row>
    <row r="699" spans="1:14" ht="15" hidden="1" customHeight="1">
      <c r="C699" s="654" t="s">
        <v>1725</v>
      </c>
      <c r="D699" s="825"/>
      <c r="E699" s="417" t="s">
        <v>1550</v>
      </c>
      <c r="F699" s="417" t="s">
        <v>1551</v>
      </c>
      <c r="G699" s="417" t="s">
        <v>1552</v>
      </c>
      <c r="H699" s="417" t="s">
        <v>1553</v>
      </c>
      <c r="I699" s="417" t="s">
        <v>1554</v>
      </c>
      <c r="J699" s="417" t="s">
        <v>1555</v>
      </c>
      <c r="K699" s="417" t="s">
        <v>1556</v>
      </c>
      <c r="L699" s="821"/>
      <c r="M699" s="822"/>
      <c r="N699" s="144"/>
    </row>
    <row r="700" spans="1:14" ht="30" hidden="1" customHeight="1">
      <c r="C700" s="826"/>
      <c r="D700" s="827"/>
      <c r="E700" s="411"/>
      <c r="F700" s="411"/>
      <c r="G700" s="411"/>
      <c r="H700" s="411"/>
      <c r="I700" s="411"/>
      <c r="J700" s="411"/>
      <c r="K700" s="411"/>
      <c r="L700" s="823"/>
      <c r="M700" s="824"/>
      <c r="N700" s="144"/>
    </row>
    <row r="701" spans="1:14" ht="15" hidden="1" customHeight="1">
      <c r="C701" s="804" t="s">
        <v>1490</v>
      </c>
      <c r="D701" s="812"/>
      <c r="E701" s="399" t="s">
        <v>1484</v>
      </c>
      <c r="F701" s="632"/>
      <c r="G701" s="633"/>
      <c r="H701" s="633"/>
      <c r="I701" s="633"/>
      <c r="J701" s="633"/>
      <c r="K701" s="633"/>
      <c r="L701" s="633"/>
      <c r="M701" s="724"/>
      <c r="N701" s="144"/>
    </row>
    <row r="702" spans="1:14" hidden="1">
      <c r="C702" s="813"/>
      <c r="D702" s="814"/>
      <c r="E702" s="320" t="s">
        <v>1492</v>
      </c>
      <c r="F702" s="632"/>
      <c r="G702" s="633"/>
      <c r="H702" s="633"/>
      <c r="I702" s="633"/>
      <c r="J702" s="633"/>
      <c r="K702" s="633"/>
      <c r="L702" s="633"/>
      <c r="M702" s="724"/>
      <c r="N702" s="144"/>
    </row>
    <row r="703" spans="1:14" hidden="1">
      <c r="C703" s="815"/>
      <c r="D703" s="816"/>
      <c r="E703" s="400" t="s">
        <v>1485</v>
      </c>
      <c r="F703" s="632"/>
      <c r="G703" s="633"/>
      <c r="H703" s="633"/>
      <c r="I703" s="633"/>
      <c r="J703" s="633"/>
      <c r="K703" s="633"/>
      <c r="L703" s="633"/>
      <c r="M703" s="724"/>
      <c r="N703" s="144"/>
    </row>
    <row r="704" spans="1:14" hidden="1">
      <c r="C704" s="804" t="s">
        <v>1491</v>
      </c>
      <c r="D704" s="817"/>
      <c r="E704" s="360" t="s">
        <v>1486</v>
      </c>
      <c r="F704" s="632"/>
      <c r="G704" s="633"/>
      <c r="H704" s="633"/>
      <c r="I704" s="633"/>
      <c r="J704" s="633"/>
      <c r="K704" s="633"/>
      <c r="L704" s="633"/>
      <c r="M704" s="724"/>
      <c r="N704" s="144"/>
    </row>
    <row r="705" spans="1:14" hidden="1">
      <c r="C705" s="813"/>
      <c r="D705" s="818"/>
      <c r="E705" s="360" t="s">
        <v>1487</v>
      </c>
      <c r="F705" s="632"/>
      <c r="G705" s="633"/>
      <c r="H705" s="633"/>
      <c r="I705" s="633"/>
      <c r="J705" s="633"/>
      <c r="K705" s="633"/>
      <c r="L705" s="633"/>
      <c r="M705" s="724"/>
      <c r="N705" s="144"/>
    </row>
    <row r="706" spans="1:14" hidden="1">
      <c r="C706" s="813"/>
      <c r="D706" s="818"/>
      <c r="E706" s="360" t="s">
        <v>1488</v>
      </c>
      <c r="F706" s="632"/>
      <c r="G706" s="633"/>
      <c r="H706" s="633"/>
      <c r="I706" s="633"/>
      <c r="J706" s="633"/>
      <c r="K706" s="633"/>
      <c r="L706" s="633"/>
      <c r="M706" s="724"/>
      <c r="N706" s="144"/>
    </row>
    <row r="707" spans="1:14" hidden="1">
      <c r="C707" s="815"/>
      <c r="D707" s="819"/>
      <c r="E707" s="360" t="s">
        <v>1489</v>
      </c>
      <c r="F707" s="632"/>
      <c r="G707" s="633"/>
      <c r="H707" s="633"/>
      <c r="I707" s="633"/>
      <c r="J707" s="633"/>
      <c r="K707" s="633"/>
      <c r="L707" s="633"/>
      <c r="M707" s="724"/>
      <c r="N707" s="144"/>
    </row>
    <row r="708" spans="1:14" ht="45" hidden="1" customHeight="1">
      <c r="C708" s="654" t="str">
        <f>IF($E698="No","Results of the consultation of airspace users' representatives", "Benefits for airspace users and results of the consultation of airspace users' representatives")</f>
        <v>Benefits for airspace users and results of the consultation of airspace users' representatives</v>
      </c>
      <c r="D708" s="655"/>
      <c r="E708" s="820"/>
      <c r="F708" s="809"/>
      <c r="G708" s="809"/>
      <c r="H708" s="809"/>
      <c r="I708" s="809"/>
      <c r="J708" s="809"/>
      <c r="K708" s="809"/>
      <c r="L708" s="809"/>
      <c r="M708" s="809"/>
      <c r="N708" s="144"/>
    </row>
    <row r="709" spans="1:14" hidden="1">
      <c r="C709" s="654" t="s">
        <v>996</v>
      </c>
      <c r="D709" s="655"/>
      <c r="E709" s="189" t="s">
        <v>240</v>
      </c>
      <c r="F709" s="806"/>
      <c r="G709" s="807"/>
      <c r="H709" s="807"/>
      <c r="I709" s="807"/>
      <c r="J709" s="807"/>
      <c r="K709" s="807"/>
      <c r="L709" s="807"/>
      <c r="M709" s="807"/>
      <c r="N709" s="144"/>
    </row>
    <row r="710" spans="1:14" hidden="1">
      <c r="C710" s="654" t="s">
        <v>326</v>
      </c>
      <c r="D710" s="655"/>
      <c r="E710" s="189" t="s">
        <v>240</v>
      </c>
      <c r="F710" s="806"/>
      <c r="G710" s="807"/>
      <c r="H710" s="807"/>
      <c r="I710" s="807"/>
      <c r="J710" s="807"/>
      <c r="K710" s="807"/>
      <c r="L710" s="807"/>
      <c r="M710" s="807"/>
      <c r="N710" s="144"/>
    </row>
    <row r="711" spans="1:14" ht="15" hidden="1" customHeight="1">
      <c r="C711" s="804" t="s">
        <v>997</v>
      </c>
      <c r="D711" s="805"/>
      <c r="E711" s="189" t="s">
        <v>240</v>
      </c>
      <c r="F711" s="806"/>
      <c r="G711" s="807"/>
      <c r="H711" s="807"/>
      <c r="I711" s="807"/>
      <c r="J711" s="807"/>
      <c r="K711" s="807"/>
      <c r="L711" s="807"/>
      <c r="M711" s="807"/>
      <c r="N711" s="144"/>
    </row>
    <row r="712" spans="1:14" ht="30" hidden="1" customHeight="1">
      <c r="C712" s="804" t="s">
        <v>327</v>
      </c>
      <c r="D712" s="805"/>
      <c r="E712" s="189" t="s">
        <v>240</v>
      </c>
      <c r="F712" s="806"/>
      <c r="G712" s="807"/>
      <c r="H712" s="807"/>
      <c r="I712" s="807"/>
      <c r="J712" s="807"/>
      <c r="K712" s="807"/>
      <c r="L712" s="807"/>
      <c r="M712" s="807"/>
      <c r="N712" s="144"/>
    </row>
    <row r="713" spans="1:14" ht="8.1" hidden="1" customHeight="1">
      <c r="C713" s="132"/>
      <c r="D713" s="132"/>
      <c r="E713" s="132"/>
      <c r="F713" s="132"/>
      <c r="G713" s="132"/>
      <c r="H713" s="132"/>
      <c r="I713" s="132"/>
      <c r="J713" s="132"/>
      <c r="K713" s="132"/>
      <c r="L713" s="132"/>
      <c r="M713" s="132"/>
    </row>
    <row r="714" spans="1:14" hidden="1"/>
    <row r="715" spans="1:14" hidden="1">
      <c r="A715" s="6" t="s">
        <v>693</v>
      </c>
      <c r="C715" s="798" t="s">
        <v>678</v>
      </c>
      <c r="D715" s="799"/>
      <c r="E715" s="800" t="str">
        <f>IF(C44="","",C44)</f>
        <v/>
      </c>
      <c r="F715" s="801"/>
      <c r="G715" s="801"/>
      <c r="H715" s="801"/>
      <c r="I715" s="801"/>
      <c r="J715" s="654" t="s">
        <v>322</v>
      </c>
      <c r="K715" s="655"/>
      <c r="L715" s="802">
        <f>D44</f>
        <v>0</v>
      </c>
      <c r="M715" s="803"/>
      <c r="N715" s="144"/>
    </row>
    <row r="716" spans="1:14" ht="45" hidden="1" customHeight="1">
      <c r="C716" s="654" t="s">
        <v>995</v>
      </c>
      <c r="D716" s="655"/>
      <c r="E716" s="808"/>
      <c r="F716" s="809"/>
      <c r="G716" s="809"/>
      <c r="H716" s="809"/>
      <c r="I716" s="809"/>
      <c r="J716" s="809"/>
      <c r="K716" s="809"/>
      <c r="L716" s="809"/>
      <c r="M716" s="809"/>
      <c r="N716" s="144"/>
    </row>
    <row r="717" spans="1:14" ht="60" hidden="1" customHeight="1">
      <c r="C717" s="810" t="str">
        <f>"The investment is mandated by a SES Regulation (i.e. PCP/CP1/Interoperability)?" &amp; IF($E717="yes"," Ref. to the Regulation and, if funded through Union assistance programmes, ref. to the relevant grant agreement.)","")</f>
        <v>The investment is mandated by a SES Regulation (i.e. PCP/CP1/Interoperability)?</v>
      </c>
      <c r="D717" s="811"/>
      <c r="E717" s="398" t="s">
        <v>240</v>
      </c>
      <c r="F717" s="632"/>
      <c r="G717" s="633"/>
      <c r="H717" s="633"/>
      <c r="I717" s="633"/>
      <c r="J717" s="633"/>
      <c r="K717" s="633"/>
      <c r="L717" s="633"/>
      <c r="M717" s="724"/>
      <c r="N717" s="144"/>
    </row>
    <row r="718" spans="1:14" ht="15" hidden="1" customHeight="1">
      <c r="C718" s="654" t="s">
        <v>1725</v>
      </c>
      <c r="D718" s="825"/>
      <c r="E718" s="417" t="s">
        <v>1550</v>
      </c>
      <c r="F718" s="417" t="s">
        <v>1551</v>
      </c>
      <c r="G718" s="417" t="s">
        <v>1552</v>
      </c>
      <c r="H718" s="417" t="s">
        <v>1553</v>
      </c>
      <c r="I718" s="417" t="s">
        <v>1554</v>
      </c>
      <c r="J718" s="417" t="s">
        <v>1555</v>
      </c>
      <c r="K718" s="417" t="s">
        <v>1556</v>
      </c>
      <c r="L718" s="821"/>
      <c r="M718" s="822"/>
      <c r="N718" s="144"/>
    </row>
    <row r="719" spans="1:14" ht="30" hidden="1" customHeight="1">
      <c r="C719" s="826"/>
      <c r="D719" s="827"/>
      <c r="E719" s="411"/>
      <c r="F719" s="411"/>
      <c r="G719" s="411"/>
      <c r="H719" s="411"/>
      <c r="I719" s="411"/>
      <c r="J719" s="411"/>
      <c r="K719" s="411"/>
      <c r="L719" s="823"/>
      <c r="M719" s="824"/>
      <c r="N719" s="144"/>
    </row>
    <row r="720" spans="1:14" ht="15" hidden="1" customHeight="1">
      <c r="C720" s="804" t="s">
        <v>1490</v>
      </c>
      <c r="D720" s="812"/>
      <c r="E720" s="399" t="s">
        <v>1484</v>
      </c>
      <c r="F720" s="632"/>
      <c r="G720" s="633"/>
      <c r="H720" s="633"/>
      <c r="I720" s="633"/>
      <c r="J720" s="633"/>
      <c r="K720" s="633"/>
      <c r="L720" s="633"/>
      <c r="M720" s="724"/>
      <c r="N720" s="144"/>
    </row>
    <row r="721" spans="1:14" hidden="1">
      <c r="C721" s="813"/>
      <c r="D721" s="814"/>
      <c r="E721" s="320" t="s">
        <v>1492</v>
      </c>
      <c r="F721" s="632"/>
      <c r="G721" s="633"/>
      <c r="H721" s="633"/>
      <c r="I721" s="633"/>
      <c r="J721" s="633"/>
      <c r="K721" s="633"/>
      <c r="L721" s="633"/>
      <c r="M721" s="724"/>
      <c r="N721" s="144"/>
    </row>
    <row r="722" spans="1:14" hidden="1">
      <c r="C722" s="815"/>
      <c r="D722" s="816"/>
      <c r="E722" s="400" t="s">
        <v>1485</v>
      </c>
      <c r="F722" s="632"/>
      <c r="G722" s="633"/>
      <c r="H722" s="633"/>
      <c r="I722" s="633"/>
      <c r="J722" s="633"/>
      <c r="K722" s="633"/>
      <c r="L722" s="633"/>
      <c r="M722" s="724"/>
      <c r="N722" s="144"/>
    </row>
    <row r="723" spans="1:14" hidden="1">
      <c r="C723" s="804" t="s">
        <v>1491</v>
      </c>
      <c r="D723" s="817"/>
      <c r="E723" s="360" t="s">
        <v>1486</v>
      </c>
      <c r="F723" s="632"/>
      <c r="G723" s="633"/>
      <c r="H723" s="633"/>
      <c r="I723" s="633"/>
      <c r="J723" s="633"/>
      <c r="K723" s="633"/>
      <c r="L723" s="633"/>
      <c r="M723" s="724"/>
      <c r="N723" s="144"/>
    </row>
    <row r="724" spans="1:14" hidden="1">
      <c r="C724" s="813"/>
      <c r="D724" s="818"/>
      <c r="E724" s="360" t="s">
        <v>1487</v>
      </c>
      <c r="F724" s="632"/>
      <c r="G724" s="633"/>
      <c r="H724" s="633"/>
      <c r="I724" s="633"/>
      <c r="J724" s="633"/>
      <c r="K724" s="633"/>
      <c r="L724" s="633"/>
      <c r="M724" s="724"/>
      <c r="N724" s="144"/>
    </row>
    <row r="725" spans="1:14" hidden="1">
      <c r="C725" s="813"/>
      <c r="D725" s="818"/>
      <c r="E725" s="360" t="s">
        <v>1488</v>
      </c>
      <c r="F725" s="632"/>
      <c r="G725" s="633"/>
      <c r="H725" s="633"/>
      <c r="I725" s="633"/>
      <c r="J725" s="633"/>
      <c r="K725" s="633"/>
      <c r="L725" s="633"/>
      <c r="M725" s="724"/>
      <c r="N725" s="144"/>
    </row>
    <row r="726" spans="1:14" hidden="1">
      <c r="C726" s="815"/>
      <c r="D726" s="819"/>
      <c r="E726" s="360" t="s">
        <v>1489</v>
      </c>
      <c r="F726" s="632"/>
      <c r="G726" s="633"/>
      <c r="H726" s="633"/>
      <c r="I726" s="633"/>
      <c r="J726" s="633"/>
      <c r="K726" s="633"/>
      <c r="L726" s="633"/>
      <c r="M726" s="724"/>
      <c r="N726" s="144"/>
    </row>
    <row r="727" spans="1:14" ht="45" hidden="1" customHeight="1">
      <c r="C727" s="654" t="str">
        <f>IF($E717="No","Results of the consultation of airspace users' representatives", "Benefits for airspace users and results of the consultation of airspace users' representatives")</f>
        <v>Benefits for airspace users and results of the consultation of airspace users' representatives</v>
      </c>
      <c r="D727" s="655"/>
      <c r="E727" s="820"/>
      <c r="F727" s="809"/>
      <c r="G727" s="809"/>
      <c r="H727" s="809"/>
      <c r="I727" s="809"/>
      <c r="J727" s="809"/>
      <c r="K727" s="809"/>
      <c r="L727" s="809"/>
      <c r="M727" s="809"/>
      <c r="N727" s="144"/>
    </row>
    <row r="728" spans="1:14" hidden="1">
      <c r="C728" s="654" t="s">
        <v>996</v>
      </c>
      <c r="D728" s="655"/>
      <c r="E728" s="189" t="s">
        <v>240</v>
      </c>
      <c r="F728" s="806"/>
      <c r="G728" s="807"/>
      <c r="H728" s="807"/>
      <c r="I728" s="807"/>
      <c r="J728" s="807"/>
      <c r="K728" s="807"/>
      <c r="L728" s="807"/>
      <c r="M728" s="807"/>
      <c r="N728" s="144"/>
    </row>
    <row r="729" spans="1:14" hidden="1">
      <c r="C729" s="654" t="s">
        <v>326</v>
      </c>
      <c r="D729" s="655"/>
      <c r="E729" s="189" t="s">
        <v>240</v>
      </c>
      <c r="F729" s="806"/>
      <c r="G729" s="807"/>
      <c r="H729" s="807"/>
      <c r="I729" s="807"/>
      <c r="J729" s="807"/>
      <c r="K729" s="807"/>
      <c r="L729" s="807"/>
      <c r="M729" s="807"/>
      <c r="N729" s="144"/>
    </row>
    <row r="730" spans="1:14" ht="15" hidden="1" customHeight="1">
      <c r="C730" s="804" t="s">
        <v>997</v>
      </c>
      <c r="D730" s="805"/>
      <c r="E730" s="189" t="s">
        <v>240</v>
      </c>
      <c r="F730" s="806"/>
      <c r="G730" s="807"/>
      <c r="H730" s="807"/>
      <c r="I730" s="807"/>
      <c r="J730" s="807"/>
      <c r="K730" s="807"/>
      <c r="L730" s="807"/>
      <c r="M730" s="807"/>
      <c r="N730" s="144"/>
    </row>
    <row r="731" spans="1:14" ht="30" hidden="1" customHeight="1">
      <c r="C731" s="804" t="s">
        <v>327</v>
      </c>
      <c r="D731" s="805"/>
      <c r="E731" s="189" t="s">
        <v>240</v>
      </c>
      <c r="F731" s="806"/>
      <c r="G731" s="807"/>
      <c r="H731" s="807"/>
      <c r="I731" s="807"/>
      <c r="J731" s="807"/>
      <c r="K731" s="807"/>
      <c r="L731" s="807"/>
      <c r="M731" s="807"/>
      <c r="N731" s="144"/>
    </row>
    <row r="732" spans="1:14" ht="8.1" hidden="1" customHeight="1">
      <c r="C732" s="132"/>
      <c r="D732" s="132"/>
      <c r="E732" s="132"/>
      <c r="F732" s="132"/>
      <c r="G732" s="132"/>
      <c r="H732" s="132"/>
      <c r="I732" s="132"/>
      <c r="J732" s="132"/>
      <c r="K732" s="132"/>
      <c r="L732" s="132"/>
      <c r="M732" s="132"/>
    </row>
    <row r="733" spans="1:14" hidden="1"/>
    <row r="734" spans="1:14" hidden="1">
      <c r="A734" s="6" t="s">
        <v>693</v>
      </c>
      <c r="C734" s="798" t="s">
        <v>679</v>
      </c>
      <c r="D734" s="799"/>
      <c r="E734" s="800" t="str">
        <f>IF(C45="","",C45)</f>
        <v/>
      </c>
      <c r="F734" s="801"/>
      <c r="G734" s="801"/>
      <c r="H734" s="801"/>
      <c r="I734" s="801"/>
      <c r="J734" s="654" t="s">
        <v>322</v>
      </c>
      <c r="K734" s="655"/>
      <c r="L734" s="802">
        <f>D45</f>
        <v>0</v>
      </c>
      <c r="M734" s="803"/>
      <c r="N734" s="144"/>
    </row>
    <row r="735" spans="1:14" ht="45" hidden="1" customHeight="1">
      <c r="C735" s="654" t="s">
        <v>995</v>
      </c>
      <c r="D735" s="655"/>
      <c r="E735" s="808"/>
      <c r="F735" s="809"/>
      <c r="G735" s="809"/>
      <c r="H735" s="809"/>
      <c r="I735" s="809"/>
      <c r="J735" s="809"/>
      <c r="K735" s="809"/>
      <c r="L735" s="809"/>
      <c r="M735" s="809"/>
      <c r="N735" s="144"/>
    </row>
    <row r="736" spans="1:14" ht="60" hidden="1" customHeight="1">
      <c r="C736" s="810" t="str">
        <f>"The investment is mandated by a SES Regulation (i.e. PCP/CP1/Interoperability)?" &amp; IF($E736="yes"," Ref. to the Regulation and, if funded through Union assistance programmes, ref. to the relevant grant agreement.)","")</f>
        <v>The investment is mandated by a SES Regulation (i.e. PCP/CP1/Interoperability)?</v>
      </c>
      <c r="D736" s="811"/>
      <c r="E736" s="398" t="s">
        <v>240</v>
      </c>
      <c r="F736" s="632"/>
      <c r="G736" s="633"/>
      <c r="H736" s="633"/>
      <c r="I736" s="633"/>
      <c r="J736" s="633"/>
      <c r="K736" s="633"/>
      <c r="L736" s="633"/>
      <c r="M736" s="724"/>
      <c r="N736" s="144"/>
    </row>
    <row r="737" spans="3:14" ht="15" hidden="1" customHeight="1">
      <c r="C737" s="654" t="s">
        <v>1725</v>
      </c>
      <c r="D737" s="825"/>
      <c r="E737" s="417" t="s">
        <v>1550</v>
      </c>
      <c r="F737" s="417" t="s">
        <v>1551</v>
      </c>
      <c r="G737" s="417" t="s">
        <v>1552</v>
      </c>
      <c r="H737" s="417" t="s">
        <v>1553</v>
      </c>
      <c r="I737" s="417" t="s">
        <v>1554</v>
      </c>
      <c r="J737" s="417" t="s">
        <v>1555</v>
      </c>
      <c r="K737" s="417" t="s">
        <v>1556</v>
      </c>
      <c r="L737" s="821"/>
      <c r="M737" s="822"/>
      <c r="N737" s="144"/>
    </row>
    <row r="738" spans="3:14" ht="30" hidden="1" customHeight="1">
      <c r="C738" s="826"/>
      <c r="D738" s="827"/>
      <c r="E738" s="411"/>
      <c r="F738" s="411"/>
      <c r="G738" s="411"/>
      <c r="H738" s="411"/>
      <c r="I738" s="411"/>
      <c r="J738" s="411"/>
      <c r="K738" s="411"/>
      <c r="L738" s="823"/>
      <c r="M738" s="824"/>
      <c r="N738" s="144"/>
    </row>
    <row r="739" spans="3:14" ht="15" hidden="1" customHeight="1">
      <c r="C739" s="804" t="s">
        <v>1490</v>
      </c>
      <c r="D739" s="812"/>
      <c r="E739" s="399" t="s">
        <v>1484</v>
      </c>
      <c r="F739" s="632"/>
      <c r="G739" s="633"/>
      <c r="H739" s="633"/>
      <c r="I739" s="633"/>
      <c r="J739" s="633"/>
      <c r="K739" s="633"/>
      <c r="L739" s="633"/>
      <c r="M739" s="724"/>
      <c r="N739" s="144"/>
    </row>
    <row r="740" spans="3:14" hidden="1">
      <c r="C740" s="813"/>
      <c r="D740" s="814"/>
      <c r="E740" s="320" t="s">
        <v>1492</v>
      </c>
      <c r="F740" s="632"/>
      <c r="G740" s="633"/>
      <c r="H740" s="633"/>
      <c r="I740" s="633"/>
      <c r="J740" s="633"/>
      <c r="K740" s="633"/>
      <c r="L740" s="633"/>
      <c r="M740" s="724"/>
      <c r="N740" s="144"/>
    </row>
    <row r="741" spans="3:14" hidden="1">
      <c r="C741" s="815"/>
      <c r="D741" s="816"/>
      <c r="E741" s="400" t="s">
        <v>1485</v>
      </c>
      <c r="F741" s="632"/>
      <c r="G741" s="633"/>
      <c r="H741" s="633"/>
      <c r="I741" s="633"/>
      <c r="J741" s="633"/>
      <c r="K741" s="633"/>
      <c r="L741" s="633"/>
      <c r="M741" s="724"/>
      <c r="N741" s="144"/>
    </row>
    <row r="742" spans="3:14" hidden="1">
      <c r="C742" s="804" t="s">
        <v>1491</v>
      </c>
      <c r="D742" s="817"/>
      <c r="E742" s="360" t="s">
        <v>1486</v>
      </c>
      <c r="F742" s="632"/>
      <c r="G742" s="633"/>
      <c r="H742" s="633"/>
      <c r="I742" s="633"/>
      <c r="J742" s="633"/>
      <c r="K742" s="633"/>
      <c r="L742" s="633"/>
      <c r="M742" s="724"/>
      <c r="N742" s="144"/>
    </row>
    <row r="743" spans="3:14" hidden="1">
      <c r="C743" s="813"/>
      <c r="D743" s="818"/>
      <c r="E743" s="360" t="s">
        <v>1487</v>
      </c>
      <c r="F743" s="632"/>
      <c r="G743" s="633"/>
      <c r="H743" s="633"/>
      <c r="I743" s="633"/>
      <c r="J743" s="633"/>
      <c r="K743" s="633"/>
      <c r="L743" s="633"/>
      <c r="M743" s="724"/>
      <c r="N743" s="144"/>
    </row>
    <row r="744" spans="3:14" hidden="1">
      <c r="C744" s="813"/>
      <c r="D744" s="818"/>
      <c r="E744" s="360" t="s">
        <v>1488</v>
      </c>
      <c r="F744" s="632"/>
      <c r="G744" s="633"/>
      <c r="H744" s="633"/>
      <c r="I744" s="633"/>
      <c r="J744" s="633"/>
      <c r="K744" s="633"/>
      <c r="L744" s="633"/>
      <c r="M744" s="724"/>
      <c r="N744" s="144"/>
    </row>
    <row r="745" spans="3:14" hidden="1">
      <c r="C745" s="815"/>
      <c r="D745" s="819"/>
      <c r="E745" s="360" t="s">
        <v>1489</v>
      </c>
      <c r="F745" s="632"/>
      <c r="G745" s="633"/>
      <c r="H745" s="633"/>
      <c r="I745" s="633"/>
      <c r="J745" s="633"/>
      <c r="K745" s="633"/>
      <c r="L745" s="633"/>
      <c r="M745" s="724"/>
      <c r="N745" s="144"/>
    </row>
    <row r="746" spans="3:14" ht="45" hidden="1" customHeight="1">
      <c r="C746" s="654" t="str">
        <f>IF($E736="No","Results of the consultation of airspace users' representatives", "Benefits for airspace users and results of the consultation of airspace users' representatives")</f>
        <v>Benefits for airspace users and results of the consultation of airspace users' representatives</v>
      </c>
      <c r="D746" s="655"/>
      <c r="E746" s="820"/>
      <c r="F746" s="809"/>
      <c r="G746" s="809"/>
      <c r="H746" s="809"/>
      <c r="I746" s="809"/>
      <c r="J746" s="809"/>
      <c r="K746" s="809"/>
      <c r="L746" s="809"/>
      <c r="M746" s="809"/>
      <c r="N746" s="144"/>
    </row>
    <row r="747" spans="3:14" hidden="1">
      <c r="C747" s="654" t="s">
        <v>996</v>
      </c>
      <c r="D747" s="655"/>
      <c r="E747" s="189" t="s">
        <v>240</v>
      </c>
      <c r="F747" s="806"/>
      <c r="G747" s="807"/>
      <c r="H747" s="807"/>
      <c r="I747" s="807"/>
      <c r="J747" s="807"/>
      <c r="K747" s="807"/>
      <c r="L747" s="807"/>
      <c r="M747" s="807"/>
      <c r="N747" s="144"/>
    </row>
    <row r="748" spans="3:14" hidden="1">
      <c r="C748" s="654" t="s">
        <v>326</v>
      </c>
      <c r="D748" s="655"/>
      <c r="E748" s="189" t="s">
        <v>240</v>
      </c>
      <c r="F748" s="806"/>
      <c r="G748" s="807"/>
      <c r="H748" s="807"/>
      <c r="I748" s="807"/>
      <c r="J748" s="807"/>
      <c r="K748" s="807"/>
      <c r="L748" s="807"/>
      <c r="M748" s="807"/>
      <c r="N748" s="144"/>
    </row>
    <row r="749" spans="3:14" ht="15" hidden="1" customHeight="1">
      <c r="C749" s="804" t="s">
        <v>997</v>
      </c>
      <c r="D749" s="805"/>
      <c r="E749" s="189" t="s">
        <v>240</v>
      </c>
      <c r="F749" s="806"/>
      <c r="G749" s="807"/>
      <c r="H749" s="807"/>
      <c r="I749" s="807"/>
      <c r="J749" s="807"/>
      <c r="K749" s="807"/>
      <c r="L749" s="807"/>
      <c r="M749" s="807"/>
      <c r="N749" s="144"/>
    </row>
    <row r="750" spans="3:14" ht="30" hidden="1" customHeight="1">
      <c r="C750" s="804" t="s">
        <v>327</v>
      </c>
      <c r="D750" s="805"/>
      <c r="E750" s="189" t="s">
        <v>240</v>
      </c>
      <c r="F750" s="806"/>
      <c r="G750" s="807"/>
      <c r="H750" s="807"/>
      <c r="I750" s="807"/>
      <c r="J750" s="807"/>
      <c r="K750" s="807"/>
      <c r="L750" s="807"/>
      <c r="M750" s="807"/>
      <c r="N750" s="144"/>
    </row>
    <row r="751" spans="3:14" ht="8.1" hidden="1" customHeight="1">
      <c r="C751" s="132"/>
      <c r="D751" s="132"/>
      <c r="E751" s="132"/>
      <c r="F751" s="132"/>
      <c r="G751" s="132"/>
      <c r="H751" s="132"/>
      <c r="I751" s="132"/>
      <c r="J751" s="132"/>
      <c r="K751" s="132"/>
      <c r="L751" s="132"/>
      <c r="M751" s="132"/>
    </row>
    <row r="752" spans="3:14" hidden="1"/>
    <row r="753" spans="1:14" hidden="1">
      <c r="A753" s="6" t="s">
        <v>693</v>
      </c>
      <c r="C753" s="798" t="s">
        <v>680</v>
      </c>
      <c r="D753" s="799"/>
      <c r="E753" s="800" t="str">
        <f>IF(C46="","",C46)</f>
        <v/>
      </c>
      <c r="F753" s="801"/>
      <c r="G753" s="801"/>
      <c r="H753" s="801"/>
      <c r="I753" s="801"/>
      <c r="J753" s="654" t="s">
        <v>322</v>
      </c>
      <c r="K753" s="655"/>
      <c r="L753" s="802">
        <f>D46</f>
        <v>0</v>
      </c>
      <c r="M753" s="803"/>
      <c r="N753" s="144"/>
    </row>
    <row r="754" spans="1:14" ht="45" hidden="1" customHeight="1">
      <c r="C754" s="654" t="s">
        <v>995</v>
      </c>
      <c r="D754" s="655"/>
      <c r="E754" s="808"/>
      <c r="F754" s="809"/>
      <c r="G754" s="809"/>
      <c r="H754" s="809"/>
      <c r="I754" s="809"/>
      <c r="J754" s="809"/>
      <c r="K754" s="809"/>
      <c r="L754" s="809"/>
      <c r="M754" s="809"/>
      <c r="N754" s="144"/>
    </row>
    <row r="755" spans="1:14" ht="60" hidden="1" customHeight="1">
      <c r="C755" s="810" t="str">
        <f>"The investment is mandated by a SES Regulation (i.e. PCP/CP1/Interoperability)?" &amp; IF($E755="yes"," Ref. to the Regulation and, if funded through Union assistance programmes, ref. to the relevant grant agreement.)","")</f>
        <v>The investment is mandated by a SES Regulation (i.e. PCP/CP1/Interoperability)?</v>
      </c>
      <c r="D755" s="811"/>
      <c r="E755" s="398" t="s">
        <v>240</v>
      </c>
      <c r="F755" s="632"/>
      <c r="G755" s="633"/>
      <c r="H755" s="633"/>
      <c r="I755" s="633"/>
      <c r="J755" s="633"/>
      <c r="K755" s="633"/>
      <c r="L755" s="633"/>
      <c r="M755" s="724"/>
      <c r="N755" s="144"/>
    </row>
    <row r="756" spans="1:14" ht="15" hidden="1" customHeight="1">
      <c r="C756" s="654" t="s">
        <v>1725</v>
      </c>
      <c r="D756" s="825"/>
      <c r="E756" s="417" t="s">
        <v>1550</v>
      </c>
      <c r="F756" s="417" t="s">
        <v>1551</v>
      </c>
      <c r="G756" s="417" t="s">
        <v>1552</v>
      </c>
      <c r="H756" s="417" t="s">
        <v>1553</v>
      </c>
      <c r="I756" s="417" t="s">
        <v>1554</v>
      </c>
      <c r="J756" s="417" t="s">
        <v>1555</v>
      </c>
      <c r="K756" s="417" t="s">
        <v>1556</v>
      </c>
      <c r="L756" s="821"/>
      <c r="M756" s="822"/>
      <c r="N756" s="144"/>
    </row>
    <row r="757" spans="1:14" ht="30" hidden="1" customHeight="1">
      <c r="C757" s="826"/>
      <c r="D757" s="827"/>
      <c r="E757" s="411"/>
      <c r="F757" s="411"/>
      <c r="G757" s="411"/>
      <c r="H757" s="411"/>
      <c r="I757" s="411"/>
      <c r="J757" s="411"/>
      <c r="K757" s="411"/>
      <c r="L757" s="823"/>
      <c r="M757" s="824"/>
      <c r="N757" s="144"/>
    </row>
    <row r="758" spans="1:14" ht="15" hidden="1" customHeight="1">
      <c r="C758" s="804" t="s">
        <v>1490</v>
      </c>
      <c r="D758" s="812"/>
      <c r="E758" s="399" t="s">
        <v>1484</v>
      </c>
      <c r="F758" s="632"/>
      <c r="G758" s="633"/>
      <c r="H758" s="633"/>
      <c r="I758" s="633"/>
      <c r="J758" s="633"/>
      <c r="K758" s="633"/>
      <c r="L758" s="633"/>
      <c r="M758" s="724"/>
      <c r="N758" s="144"/>
    </row>
    <row r="759" spans="1:14" hidden="1">
      <c r="C759" s="813"/>
      <c r="D759" s="814"/>
      <c r="E759" s="320" t="s">
        <v>1492</v>
      </c>
      <c r="F759" s="632"/>
      <c r="G759" s="633"/>
      <c r="H759" s="633"/>
      <c r="I759" s="633"/>
      <c r="J759" s="633"/>
      <c r="K759" s="633"/>
      <c r="L759" s="633"/>
      <c r="M759" s="724"/>
      <c r="N759" s="144"/>
    </row>
    <row r="760" spans="1:14" hidden="1">
      <c r="C760" s="815"/>
      <c r="D760" s="816"/>
      <c r="E760" s="400" t="s">
        <v>1485</v>
      </c>
      <c r="F760" s="632"/>
      <c r="G760" s="633"/>
      <c r="H760" s="633"/>
      <c r="I760" s="633"/>
      <c r="J760" s="633"/>
      <c r="K760" s="633"/>
      <c r="L760" s="633"/>
      <c r="M760" s="724"/>
      <c r="N760" s="144"/>
    </row>
    <row r="761" spans="1:14" hidden="1">
      <c r="C761" s="804" t="s">
        <v>1491</v>
      </c>
      <c r="D761" s="817"/>
      <c r="E761" s="360" t="s">
        <v>1486</v>
      </c>
      <c r="F761" s="632"/>
      <c r="G761" s="633"/>
      <c r="H761" s="633"/>
      <c r="I761" s="633"/>
      <c r="J761" s="633"/>
      <c r="K761" s="633"/>
      <c r="L761" s="633"/>
      <c r="M761" s="724"/>
      <c r="N761" s="144"/>
    </row>
    <row r="762" spans="1:14" hidden="1">
      <c r="C762" s="813"/>
      <c r="D762" s="818"/>
      <c r="E762" s="360" t="s">
        <v>1487</v>
      </c>
      <c r="F762" s="632"/>
      <c r="G762" s="633"/>
      <c r="H762" s="633"/>
      <c r="I762" s="633"/>
      <c r="J762" s="633"/>
      <c r="K762" s="633"/>
      <c r="L762" s="633"/>
      <c r="M762" s="724"/>
      <c r="N762" s="144"/>
    </row>
    <row r="763" spans="1:14" hidden="1">
      <c r="C763" s="813"/>
      <c r="D763" s="818"/>
      <c r="E763" s="360" t="s">
        <v>1488</v>
      </c>
      <c r="F763" s="632"/>
      <c r="G763" s="633"/>
      <c r="H763" s="633"/>
      <c r="I763" s="633"/>
      <c r="J763" s="633"/>
      <c r="K763" s="633"/>
      <c r="L763" s="633"/>
      <c r="M763" s="724"/>
      <c r="N763" s="144"/>
    </row>
    <row r="764" spans="1:14" hidden="1">
      <c r="C764" s="815"/>
      <c r="D764" s="819"/>
      <c r="E764" s="360" t="s">
        <v>1489</v>
      </c>
      <c r="F764" s="632"/>
      <c r="G764" s="633"/>
      <c r="H764" s="633"/>
      <c r="I764" s="633"/>
      <c r="J764" s="633"/>
      <c r="K764" s="633"/>
      <c r="L764" s="633"/>
      <c r="M764" s="724"/>
      <c r="N764" s="144"/>
    </row>
    <row r="765" spans="1:14" ht="45" hidden="1" customHeight="1">
      <c r="C765" s="654" t="str">
        <f>IF($E755="No","Results of the consultation of airspace users' representatives", "Benefits for airspace users and results of the consultation of airspace users' representatives")</f>
        <v>Benefits for airspace users and results of the consultation of airspace users' representatives</v>
      </c>
      <c r="D765" s="655"/>
      <c r="E765" s="820"/>
      <c r="F765" s="809"/>
      <c r="G765" s="809"/>
      <c r="H765" s="809"/>
      <c r="I765" s="809"/>
      <c r="J765" s="809"/>
      <c r="K765" s="809"/>
      <c r="L765" s="809"/>
      <c r="M765" s="809"/>
      <c r="N765" s="144"/>
    </row>
    <row r="766" spans="1:14" hidden="1">
      <c r="C766" s="654" t="s">
        <v>996</v>
      </c>
      <c r="D766" s="655"/>
      <c r="E766" s="189" t="s">
        <v>240</v>
      </c>
      <c r="F766" s="806"/>
      <c r="G766" s="807"/>
      <c r="H766" s="807"/>
      <c r="I766" s="807"/>
      <c r="J766" s="807"/>
      <c r="K766" s="807"/>
      <c r="L766" s="807"/>
      <c r="M766" s="807"/>
      <c r="N766" s="144"/>
    </row>
    <row r="767" spans="1:14" hidden="1">
      <c r="C767" s="654" t="s">
        <v>326</v>
      </c>
      <c r="D767" s="655"/>
      <c r="E767" s="189" t="s">
        <v>240</v>
      </c>
      <c r="F767" s="806"/>
      <c r="G767" s="807"/>
      <c r="H767" s="807"/>
      <c r="I767" s="807"/>
      <c r="J767" s="807"/>
      <c r="K767" s="807"/>
      <c r="L767" s="807"/>
      <c r="M767" s="807"/>
      <c r="N767" s="144"/>
    </row>
    <row r="768" spans="1:14" ht="15" hidden="1" customHeight="1">
      <c r="C768" s="804" t="s">
        <v>997</v>
      </c>
      <c r="D768" s="805"/>
      <c r="E768" s="189" t="s">
        <v>240</v>
      </c>
      <c r="F768" s="806"/>
      <c r="G768" s="807"/>
      <c r="H768" s="807"/>
      <c r="I768" s="807"/>
      <c r="J768" s="807"/>
      <c r="K768" s="807"/>
      <c r="L768" s="807"/>
      <c r="M768" s="807"/>
      <c r="N768" s="144"/>
    </row>
    <row r="769" spans="1:14" ht="30" hidden="1" customHeight="1">
      <c r="C769" s="804" t="s">
        <v>327</v>
      </c>
      <c r="D769" s="805"/>
      <c r="E769" s="189" t="s">
        <v>240</v>
      </c>
      <c r="F769" s="806"/>
      <c r="G769" s="807"/>
      <c r="H769" s="807"/>
      <c r="I769" s="807"/>
      <c r="J769" s="807"/>
      <c r="K769" s="807"/>
      <c r="L769" s="807"/>
      <c r="M769" s="807"/>
      <c r="N769" s="144"/>
    </row>
    <row r="770" spans="1:14" ht="8.1" hidden="1" customHeight="1">
      <c r="C770" s="132"/>
      <c r="D770" s="132"/>
      <c r="E770" s="132"/>
      <c r="F770" s="132"/>
      <c r="G770" s="132"/>
      <c r="H770" s="132"/>
      <c r="I770" s="132"/>
      <c r="J770" s="132"/>
      <c r="K770" s="132"/>
      <c r="L770" s="132"/>
      <c r="M770" s="132"/>
    </row>
    <row r="771" spans="1:14" hidden="1"/>
    <row r="772" spans="1:14" hidden="1">
      <c r="A772" s="6" t="s">
        <v>693</v>
      </c>
      <c r="C772" s="798" t="s">
        <v>692</v>
      </c>
      <c r="D772" s="799"/>
      <c r="E772" s="800" t="str">
        <f>IF(C47="","",C47)</f>
        <v/>
      </c>
      <c r="F772" s="801"/>
      <c r="G772" s="801"/>
      <c r="H772" s="801"/>
      <c r="I772" s="801"/>
      <c r="J772" s="654" t="s">
        <v>322</v>
      </c>
      <c r="K772" s="655"/>
      <c r="L772" s="802">
        <f>D47</f>
        <v>0</v>
      </c>
      <c r="M772" s="803"/>
      <c r="N772" s="144"/>
    </row>
    <row r="773" spans="1:14" ht="45" hidden="1" customHeight="1">
      <c r="C773" s="654" t="s">
        <v>995</v>
      </c>
      <c r="D773" s="655"/>
      <c r="E773" s="808"/>
      <c r="F773" s="809"/>
      <c r="G773" s="809"/>
      <c r="H773" s="809"/>
      <c r="I773" s="809"/>
      <c r="J773" s="809"/>
      <c r="K773" s="809"/>
      <c r="L773" s="809"/>
      <c r="M773" s="809"/>
      <c r="N773" s="144"/>
    </row>
    <row r="774" spans="1:14" ht="60" hidden="1" customHeight="1">
      <c r="C774" s="810" t="str">
        <f>"The investment is mandated by a SES Regulation (i.e. PCP/CP1/Interoperability)?" &amp; IF($E774="yes"," Ref. to the Regulation and, if funded through Union assistance programmes, ref. to the relevant grant agreement.)","")</f>
        <v>The investment is mandated by a SES Regulation (i.e. PCP/CP1/Interoperability)?</v>
      </c>
      <c r="D774" s="811"/>
      <c r="E774" s="398" t="s">
        <v>240</v>
      </c>
      <c r="F774" s="632"/>
      <c r="G774" s="633"/>
      <c r="H774" s="633"/>
      <c r="I774" s="633"/>
      <c r="J774" s="633"/>
      <c r="K774" s="633"/>
      <c r="L774" s="633"/>
      <c r="M774" s="724"/>
      <c r="N774" s="144"/>
    </row>
    <row r="775" spans="1:14" ht="15" hidden="1" customHeight="1">
      <c r="C775" s="654" t="s">
        <v>1725</v>
      </c>
      <c r="D775" s="825"/>
      <c r="E775" s="417" t="s">
        <v>1550</v>
      </c>
      <c r="F775" s="417" t="s">
        <v>1551</v>
      </c>
      <c r="G775" s="417" t="s">
        <v>1552</v>
      </c>
      <c r="H775" s="417" t="s">
        <v>1553</v>
      </c>
      <c r="I775" s="417" t="s">
        <v>1554</v>
      </c>
      <c r="J775" s="417" t="s">
        <v>1555</v>
      </c>
      <c r="K775" s="417" t="s">
        <v>1556</v>
      </c>
      <c r="L775" s="821"/>
      <c r="M775" s="822"/>
      <c r="N775" s="144"/>
    </row>
    <row r="776" spans="1:14" ht="30" hidden="1" customHeight="1">
      <c r="C776" s="826"/>
      <c r="D776" s="827"/>
      <c r="E776" s="411"/>
      <c r="F776" s="411"/>
      <c r="G776" s="411"/>
      <c r="H776" s="411"/>
      <c r="I776" s="411"/>
      <c r="J776" s="411"/>
      <c r="K776" s="411"/>
      <c r="L776" s="823"/>
      <c r="M776" s="824"/>
      <c r="N776" s="144"/>
    </row>
    <row r="777" spans="1:14" ht="15" hidden="1" customHeight="1">
      <c r="C777" s="804" t="s">
        <v>1490</v>
      </c>
      <c r="D777" s="812"/>
      <c r="E777" s="399" t="s">
        <v>1484</v>
      </c>
      <c r="F777" s="632"/>
      <c r="G777" s="633"/>
      <c r="H777" s="633"/>
      <c r="I777" s="633"/>
      <c r="J777" s="633"/>
      <c r="K777" s="633"/>
      <c r="L777" s="633"/>
      <c r="M777" s="724"/>
      <c r="N777" s="144"/>
    </row>
    <row r="778" spans="1:14" hidden="1">
      <c r="C778" s="813"/>
      <c r="D778" s="814"/>
      <c r="E778" s="320" t="s">
        <v>1492</v>
      </c>
      <c r="F778" s="632"/>
      <c r="G778" s="633"/>
      <c r="H778" s="633"/>
      <c r="I778" s="633"/>
      <c r="J778" s="633"/>
      <c r="K778" s="633"/>
      <c r="L778" s="633"/>
      <c r="M778" s="724"/>
      <c r="N778" s="144"/>
    </row>
    <row r="779" spans="1:14" hidden="1">
      <c r="C779" s="815"/>
      <c r="D779" s="816"/>
      <c r="E779" s="400" t="s">
        <v>1485</v>
      </c>
      <c r="F779" s="632"/>
      <c r="G779" s="633"/>
      <c r="H779" s="633"/>
      <c r="I779" s="633"/>
      <c r="J779" s="633"/>
      <c r="K779" s="633"/>
      <c r="L779" s="633"/>
      <c r="M779" s="724"/>
      <c r="N779" s="144"/>
    </row>
    <row r="780" spans="1:14" hidden="1">
      <c r="C780" s="804" t="s">
        <v>1491</v>
      </c>
      <c r="D780" s="817"/>
      <c r="E780" s="360" t="s">
        <v>1486</v>
      </c>
      <c r="F780" s="632"/>
      <c r="G780" s="633"/>
      <c r="H780" s="633"/>
      <c r="I780" s="633"/>
      <c r="J780" s="633"/>
      <c r="K780" s="633"/>
      <c r="L780" s="633"/>
      <c r="M780" s="724"/>
      <c r="N780" s="144"/>
    </row>
    <row r="781" spans="1:14" hidden="1">
      <c r="C781" s="813"/>
      <c r="D781" s="818"/>
      <c r="E781" s="360" t="s">
        <v>1487</v>
      </c>
      <c r="F781" s="632"/>
      <c r="G781" s="633"/>
      <c r="H781" s="633"/>
      <c r="I781" s="633"/>
      <c r="J781" s="633"/>
      <c r="K781" s="633"/>
      <c r="L781" s="633"/>
      <c r="M781" s="724"/>
      <c r="N781" s="144"/>
    </row>
    <row r="782" spans="1:14" hidden="1">
      <c r="C782" s="813"/>
      <c r="D782" s="818"/>
      <c r="E782" s="360" t="s">
        <v>1488</v>
      </c>
      <c r="F782" s="632"/>
      <c r="G782" s="633"/>
      <c r="H782" s="633"/>
      <c r="I782" s="633"/>
      <c r="J782" s="633"/>
      <c r="K782" s="633"/>
      <c r="L782" s="633"/>
      <c r="M782" s="724"/>
      <c r="N782" s="144"/>
    </row>
    <row r="783" spans="1:14" hidden="1">
      <c r="C783" s="815"/>
      <c r="D783" s="819"/>
      <c r="E783" s="360" t="s">
        <v>1489</v>
      </c>
      <c r="F783" s="632"/>
      <c r="G783" s="633"/>
      <c r="H783" s="633"/>
      <c r="I783" s="633"/>
      <c r="J783" s="633"/>
      <c r="K783" s="633"/>
      <c r="L783" s="633"/>
      <c r="M783" s="724"/>
      <c r="N783" s="144"/>
    </row>
    <row r="784" spans="1:14" ht="45" hidden="1" customHeight="1">
      <c r="C784" s="654" t="str">
        <f>IF($E774="No","Results of the consultation of airspace users' representatives", "Benefits for airspace users and results of the consultation of airspace users' representatives")</f>
        <v>Benefits for airspace users and results of the consultation of airspace users' representatives</v>
      </c>
      <c r="D784" s="655"/>
      <c r="E784" s="820"/>
      <c r="F784" s="809"/>
      <c r="G784" s="809"/>
      <c r="H784" s="809"/>
      <c r="I784" s="809"/>
      <c r="J784" s="809"/>
      <c r="K784" s="809"/>
      <c r="L784" s="809"/>
      <c r="M784" s="809"/>
      <c r="N784" s="144"/>
    </row>
    <row r="785" spans="1:14" hidden="1">
      <c r="C785" s="654" t="s">
        <v>996</v>
      </c>
      <c r="D785" s="655"/>
      <c r="E785" s="189" t="s">
        <v>240</v>
      </c>
      <c r="F785" s="806"/>
      <c r="G785" s="807"/>
      <c r="H785" s="807"/>
      <c r="I785" s="807"/>
      <c r="J785" s="807"/>
      <c r="K785" s="807"/>
      <c r="L785" s="807"/>
      <c r="M785" s="807"/>
      <c r="N785" s="144"/>
    </row>
    <row r="786" spans="1:14" hidden="1">
      <c r="C786" s="654" t="s">
        <v>326</v>
      </c>
      <c r="D786" s="655"/>
      <c r="E786" s="189" t="s">
        <v>240</v>
      </c>
      <c r="F786" s="806"/>
      <c r="G786" s="807"/>
      <c r="H786" s="807"/>
      <c r="I786" s="807"/>
      <c r="J786" s="807"/>
      <c r="K786" s="807"/>
      <c r="L786" s="807"/>
      <c r="M786" s="807"/>
      <c r="N786" s="144"/>
    </row>
    <row r="787" spans="1:14" ht="15" hidden="1" customHeight="1">
      <c r="C787" s="804" t="s">
        <v>997</v>
      </c>
      <c r="D787" s="805"/>
      <c r="E787" s="189" t="s">
        <v>240</v>
      </c>
      <c r="F787" s="806"/>
      <c r="G787" s="807"/>
      <c r="H787" s="807"/>
      <c r="I787" s="807"/>
      <c r="J787" s="807"/>
      <c r="K787" s="807"/>
      <c r="L787" s="807"/>
      <c r="M787" s="807"/>
      <c r="N787" s="144"/>
    </row>
    <row r="788" spans="1:14" ht="30" hidden="1" customHeight="1">
      <c r="C788" s="804" t="s">
        <v>327</v>
      </c>
      <c r="D788" s="805"/>
      <c r="E788" s="189" t="s">
        <v>240</v>
      </c>
      <c r="F788" s="806"/>
      <c r="G788" s="807"/>
      <c r="H788" s="807"/>
      <c r="I788" s="807"/>
      <c r="J788" s="807"/>
      <c r="K788" s="807"/>
      <c r="L788" s="807"/>
      <c r="M788" s="807"/>
      <c r="N788" s="144"/>
    </row>
    <row r="789" spans="1:14" ht="8.1" hidden="1" customHeight="1">
      <c r="C789" s="132"/>
      <c r="D789" s="132"/>
      <c r="E789" s="132"/>
      <c r="F789" s="132"/>
      <c r="G789" s="132"/>
      <c r="H789" s="132"/>
      <c r="I789" s="132"/>
      <c r="J789" s="132"/>
      <c r="K789" s="132"/>
      <c r="L789" s="132"/>
      <c r="M789" s="132"/>
    </row>
    <row r="790" spans="1:14" hidden="1"/>
    <row r="791" spans="1:14" hidden="1">
      <c r="A791" s="6" t="s">
        <v>693</v>
      </c>
      <c r="C791" s="798" t="s">
        <v>681</v>
      </c>
      <c r="D791" s="799"/>
      <c r="E791" s="800" t="str">
        <f>IF(C48="","",C48)</f>
        <v/>
      </c>
      <c r="F791" s="801"/>
      <c r="G791" s="801"/>
      <c r="H791" s="801"/>
      <c r="I791" s="801"/>
      <c r="J791" s="654" t="s">
        <v>322</v>
      </c>
      <c r="K791" s="655"/>
      <c r="L791" s="802">
        <f>D48</f>
        <v>0</v>
      </c>
      <c r="M791" s="803"/>
      <c r="N791" s="144"/>
    </row>
    <row r="792" spans="1:14" ht="45" hidden="1" customHeight="1">
      <c r="C792" s="654" t="s">
        <v>995</v>
      </c>
      <c r="D792" s="655"/>
      <c r="E792" s="808"/>
      <c r="F792" s="809"/>
      <c r="G792" s="809"/>
      <c r="H792" s="809"/>
      <c r="I792" s="809"/>
      <c r="J792" s="809"/>
      <c r="K792" s="809"/>
      <c r="L792" s="809"/>
      <c r="M792" s="809"/>
      <c r="N792" s="144"/>
    </row>
    <row r="793" spans="1:14" ht="60" hidden="1" customHeight="1">
      <c r="C793" s="810" t="str">
        <f>"The investment is mandated by a SES Regulation (i.e. PCP/CP1/Interoperability)?" &amp; IF($E793="yes"," Ref. to the Regulation and, if funded through Union assistance programmes, ref. to the relevant grant agreement.)","")</f>
        <v>The investment is mandated by a SES Regulation (i.e. PCP/CP1/Interoperability)?</v>
      </c>
      <c r="D793" s="811"/>
      <c r="E793" s="398" t="s">
        <v>240</v>
      </c>
      <c r="F793" s="632"/>
      <c r="G793" s="633"/>
      <c r="H793" s="633"/>
      <c r="I793" s="633"/>
      <c r="J793" s="633"/>
      <c r="K793" s="633"/>
      <c r="L793" s="633"/>
      <c r="M793" s="724"/>
      <c r="N793" s="144"/>
    </row>
    <row r="794" spans="1:14" ht="15" hidden="1" customHeight="1">
      <c r="C794" s="654" t="s">
        <v>1725</v>
      </c>
      <c r="D794" s="825"/>
      <c r="E794" s="417" t="s">
        <v>1550</v>
      </c>
      <c r="F794" s="417" t="s">
        <v>1551</v>
      </c>
      <c r="G794" s="417" t="s">
        <v>1552</v>
      </c>
      <c r="H794" s="417" t="s">
        <v>1553</v>
      </c>
      <c r="I794" s="417" t="s">
        <v>1554</v>
      </c>
      <c r="J794" s="417" t="s">
        <v>1555</v>
      </c>
      <c r="K794" s="417" t="s">
        <v>1556</v>
      </c>
      <c r="L794" s="821"/>
      <c r="M794" s="822"/>
      <c r="N794" s="144"/>
    </row>
    <row r="795" spans="1:14" ht="30" hidden="1" customHeight="1">
      <c r="C795" s="826"/>
      <c r="D795" s="827"/>
      <c r="E795" s="411"/>
      <c r="F795" s="411"/>
      <c r="G795" s="411"/>
      <c r="H795" s="411"/>
      <c r="I795" s="411"/>
      <c r="J795" s="411"/>
      <c r="K795" s="411"/>
      <c r="L795" s="823"/>
      <c r="M795" s="824"/>
      <c r="N795" s="144"/>
    </row>
    <row r="796" spans="1:14" ht="15" hidden="1" customHeight="1">
      <c r="C796" s="804" t="s">
        <v>1490</v>
      </c>
      <c r="D796" s="812"/>
      <c r="E796" s="399" t="s">
        <v>1484</v>
      </c>
      <c r="F796" s="632"/>
      <c r="G796" s="633"/>
      <c r="H796" s="633"/>
      <c r="I796" s="633"/>
      <c r="J796" s="633"/>
      <c r="K796" s="633"/>
      <c r="L796" s="633"/>
      <c r="M796" s="724"/>
      <c r="N796" s="144"/>
    </row>
    <row r="797" spans="1:14" hidden="1">
      <c r="C797" s="813"/>
      <c r="D797" s="814"/>
      <c r="E797" s="320" t="s">
        <v>1492</v>
      </c>
      <c r="F797" s="632"/>
      <c r="G797" s="633"/>
      <c r="H797" s="633"/>
      <c r="I797" s="633"/>
      <c r="J797" s="633"/>
      <c r="K797" s="633"/>
      <c r="L797" s="633"/>
      <c r="M797" s="724"/>
      <c r="N797" s="144"/>
    </row>
    <row r="798" spans="1:14" hidden="1">
      <c r="C798" s="815"/>
      <c r="D798" s="816"/>
      <c r="E798" s="400" t="s">
        <v>1485</v>
      </c>
      <c r="F798" s="632"/>
      <c r="G798" s="633"/>
      <c r="H798" s="633"/>
      <c r="I798" s="633"/>
      <c r="J798" s="633"/>
      <c r="K798" s="633"/>
      <c r="L798" s="633"/>
      <c r="M798" s="724"/>
      <c r="N798" s="144"/>
    </row>
    <row r="799" spans="1:14" hidden="1">
      <c r="C799" s="804" t="s">
        <v>1491</v>
      </c>
      <c r="D799" s="817"/>
      <c r="E799" s="360" t="s">
        <v>1486</v>
      </c>
      <c r="F799" s="632"/>
      <c r="G799" s="633"/>
      <c r="H799" s="633"/>
      <c r="I799" s="633"/>
      <c r="J799" s="633"/>
      <c r="K799" s="633"/>
      <c r="L799" s="633"/>
      <c r="M799" s="724"/>
      <c r="N799" s="144"/>
    </row>
    <row r="800" spans="1:14" hidden="1">
      <c r="C800" s="813"/>
      <c r="D800" s="818"/>
      <c r="E800" s="360" t="s">
        <v>1487</v>
      </c>
      <c r="F800" s="632"/>
      <c r="G800" s="633"/>
      <c r="H800" s="633"/>
      <c r="I800" s="633"/>
      <c r="J800" s="633"/>
      <c r="K800" s="633"/>
      <c r="L800" s="633"/>
      <c r="M800" s="724"/>
      <c r="N800" s="144"/>
    </row>
    <row r="801" spans="1:14" hidden="1">
      <c r="C801" s="813"/>
      <c r="D801" s="818"/>
      <c r="E801" s="360" t="s">
        <v>1488</v>
      </c>
      <c r="F801" s="632"/>
      <c r="G801" s="633"/>
      <c r="H801" s="633"/>
      <c r="I801" s="633"/>
      <c r="J801" s="633"/>
      <c r="K801" s="633"/>
      <c r="L801" s="633"/>
      <c r="M801" s="724"/>
      <c r="N801" s="144"/>
    </row>
    <row r="802" spans="1:14" hidden="1">
      <c r="C802" s="815"/>
      <c r="D802" s="819"/>
      <c r="E802" s="360" t="s">
        <v>1489</v>
      </c>
      <c r="F802" s="632"/>
      <c r="G802" s="633"/>
      <c r="H802" s="633"/>
      <c r="I802" s="633"/>
      <c r="J802" s="633"/>
      <c r="K802" s="633"/>
      <c r="L802" s="633"/>
      <c r="M802" s="724"/>
      <c r="N802" s="144"/>
    </row>
    <row r="803" spans="1:14" ht="45" hidden="1" customHeight="1">
      <c r="C803" s="654" t="str">
        <f>IF($E793="No","Results of the consultation of airspace users' representatives", "Benefits for airspace users and results of the consultation of airspace users' representatives")</f>
        <v>Benefits for airspace users and results of the consultation of airspace users' representatives</v>
      </c>
      <c r="D803" s="655"/>
      <c r="E803" s="820"/>
      <c r="F803" s="809"/>
      <c r="G803" s="809"/>
      <c r="H803" s="809"/>
      <c r="I803" s="809"/>
      <c r="J803" s="809"/>
      <c r="K803" s="809"/>
      <c r="L803" s="809"/>
      <c r="M803" s="809"/>
      <c r="N803" s="144"/>
    </row>
    <row r="804" spans="1:14" hidden="1">
      <c r="C804" s="654" t="s">
        <v>996</v>
      </c>
      <c r="D804" s="655"/>
      <c r="E804" s="189" t="s">
        <v>240</v>
      </c>
      <c r="F804" s="806"/>
      <c r="G804" s="807"/>
      <c r="H804" s="807"/>
      <c r="I804" s="807"/>
      <c r="J804" s="807"/>
      <c r="K804" s="807"/>
      <c r="L804" s="807"/>
      <c r="M804" s="807"/>
      <c r="N804" s="144"/>
    </row>
    <row r="805" spans="1:14" hidden="1">
      <c r="C805" s="654" t="s">
        <v>326</v>
      </c>
      <c r="D805" s="655"/>
      <c r="E805" s="189" t="s">
        <v>240</v>
      </c>
      <c r="F805" s="806"/>
      <c r="G805" s="807"/>
      <c r="H805" s="807"/>
      <c r="I805" s="807"/>
      <c r="J805" s="807"/>
      <c r="K805" s="807"/>
      <c r="L805" s="807"/>
      <c r="M805" s="807"/>
      <c r="N805" s="144"/>
    </row>
    <row r="806" spans="1:14" ht="15" hidden="1" customHeight="1">
      <c r="C806" s="804" t="s">
        <v>997</v>
      </c>
      <c r="D806" s="805"/>
      <c r="E806" s="189" t="s">
        <v>240</v>
      </c>
      <c r="F806" s="806"/>
      <c r="G806" s="807"/>
      <c r="H806" s="807"/>
      <c r="I806" s="807"/>
      <c r="J806" s="807"/>
      <c r="K806" s="807"/>
      <c r="L806" s="807"/>
      <c r="M806" s="807"/>
      <c r="N806" s="144"/>
    </row>
    <row r="807" spans="1:14" ht="30" hidden="1" customHeight="1">
      <c r="C807" s="804" t="s">
        <v>327</v>
      </c>
      <c r="D807" s="805"/>
      <c r="E807" s="189" t="s">
        <v>240</v>
      </c>
      <c r="F807" s="806"/>
      <c r="G807" s="807"/>
      <c r="H807" s="807"/>
      <c r="I807" s="807"/>
      <c r="J807" s="807"/>
      <c r="K807" s="807"/>
      <c r="L807" s="807"/>
      <c r="M807" s="807"/>
      <c r="N807" s="144"/>
    </row>
    <row r="808" spans="1:14" ht="8.1" hidden="1" customHeight="1">
      <c r="C808" s="132"/>
      <c r="D808" s="132"/>
      <c r="E808" s="132"/>
      <c r="F808" s="132"/>
      <c r="G808" s="132"/>
      <c r="H808" s="132"/>
      <c r="I808" s="132"/>
      <c r="J808" s="132"/>
      <c r="K808" s="132"/>
      <c r="L808" s="132"/>
      <c r="M808" s="132"/>
    </row>
    <row r="809" spans="1:14" hidden="1"/>
    <row r="810" spans="1:14" hidden="1">
      <c r="A810" s="6" t="s">
        <v>693</v>
      </c>
      <c r="C810" s="798" t="s">
        <v>682</v>
      </c>
      <c r="D810" s="799"/>
      <c r="E810" s="800" t="str">
        <f>IF(C49="","",C49)</f>
        <v/>
      </c>
      <c r="F810" s="801"/>
      <c r="G810" s="801"/>
      <c r="H810" s="801"/>
      <c r="I810" s="801"/>
      <c r="J810" s="654" t="s">
        <v>322</v>
      </c>
      <c r="K810" s="655"/>
      <c r="L810" s="802">
        <f>D49</f>
        <v>0</v>
      </c>
      <c r="M810" s="803"/>
      <c r="N810" s="144"/>
    </row>
    <row r="811" spans="1:14" ht="45" hidden="1" customHeight="1">
      <c r="C811" s="654" t="s">
        <v>995</v>
      </c>
      <c r="D811" s="655"/>
      <c r="E811" s="808"/>
      <c r="F811" s="809"/>
      <c r="G811" s="809"/>
      <c r="H811" s="809"/>
      <c r="I811" s="809"/>
      <c r="J811" s="809"/>
      <c r="K811" s="809"/>
      <c r="L811" s="809"/>
      <c r="M811" s="809"/>
      <c r="N811" s="144"/>
    </row>
    <row r="812" spans="1:14" ht="60" hidden="1" customHeight="1">
      <c r="C812" s="810" t="str">
        <f>"The investment is mandated by a SES Regulation (i.e. PCP/CP1/Interoperability)?" &amp; IF($E812="yes"," Ref. to the Regulation and, if funded through Union assistance programmes, ref. to the relevant grant agreement.)","")</f>
        <v>The investment is mandated by a SES Regulation (i.e. PCP/CP1/Interoperability)?</v>
      </c>
      <c r="D812" s="811"/>
      <c r="E812" s="398" t="s">
        <v>240</v>
      </c>
      <c r="F812" s="632"/>
      <c r="G812" s="633"/>
      <c r="H812" s="633"/>
      <c r="I812" s="633"/>
      <c r="J812" s="633"/>
      <c r="K812" s="633"/>
      <c r="L812" s="633"/>
      <c r="M812" s="724"/>
      <c r="N812" s="144"/>
    </row>
    <row r="813" spans="1:14" ht="15" hidden="1" customHeight="1">
      <c r="C813" s="654" t="s">
        <v>1725</v>
      </c>
      <c r="D813" s="825"/>
      <c r="E813" s="417" t="s">
        <v>1550</v>
      </c>
      <c r="F813" s="417" t="s">
        <v>1551</v>
      </c>
      <c r="G813" s="417" t="s">
        <v>1552</v>
      </c>
      <c r="H813" s="417" t="s">
        <v>1553</v>
      </c>
      <c r="I813" s="417" t="s">
        <v>1554</v>
      </c>
      <c r="J813" s="417" t="s">
        <v>1555</v>
      </c>
      <c r="K813" s="417" t="s">
        <v>1556</v>
      </c>
      <c r="L813" s="821"/>
      <c r="M813" s="822"/>
      <c r="N813" s="144"/>
    </row>
    <row r="814" spans="1:14" ht="30" hidden="1" customHeight="1">
      <c r="C814" s="826"/>
      <c r="D814" s="827"/>
      <c r="E814" s="411"/>
      <c r="F814" s="411"/>
      <c r="G814" s="411"/>
      <c r="H814" s="411"/>
      <c r="I814" s="411"/>
      <c r="J814" s="411"/>
      <c r="K814" s="411"/>
      <c r="L814" s="823"/>
      <c r="M814" s="824"/>
      <c r="N814" s="144"/>
    </row>
    <row r="815" spans="1:14" ht="15" hidden="1" customHeight="1">
      <c r="C815" s="804" t="s">
        <v>1490</v>
      </c>
      <c r="D815" s="812"/>
      <c r="E815" s="399" t="s">
        <v>1484</v>
      </c>
      <c r="F815" s="632"/>
      <c r="G815" s="633"/>
      <c r="H815" s="633"/>
      <c r="I815" s="633"/>
      <c r="J815" s="633"/>
      <c r="K815" s="633"/>
      <c r="L815" s="633"/>
      <c r="M815" s="724"/>
      <c r="N815" s="144"/>
    </row>
    <row r="816" spans="1:14" hidden="1">
      <c r="C816" s="813"/>
      <c r="D816" s="814"/>
      <c r="E816" s="320" t="s">
        <v>1492</v>
      </c>
      <c r="F816" s="632"/>
      <c r="G816" s="633"/>
      <c r="H816" s="633"/>
      <c r="I816" s="633"/>
      <c r="J816" s="633"/>
      <c r="K816" s="633"/>
      <c r="L816" s="633"/>
      <c r="M816" s="724"/>
      <c r="N816" s="144"/>
    </row>
    <row r="817" spans="1:14" hidden="1">
      <c r="C817" s="815"/>
      <c r="D817" s="816"/>
      <c r="E817" s="400" t="s">
        <v>1485</v>
      </c>
      <c r="F817" s="632"/>
      <c r="G817" s="633"/>
      <c r="H817" s="633"/>
      <c r="I817" s="633"/>
      <c r="J817" s="633"/>
      <c r="K817" s="633"/>
      <c r="L817" s="633"/>
      <c r="M817" s="724"/>
      <c r="N817" s="144"/>
    </row>
    <row r="818" spans="1:14" hidden="1">
      <c r="C818" s="804" t="s">
        <v>1491</v>
      </c>
      <c r="D818" s="817"/>
      <c r="E818" s="360" t="s">
        <v>1486</v>
      </c>
      <c r="F818" s="632"/>
      <c r="G818" s="633"/>
      <c r="H818" s="633"/>
      <c r="I818" s="633"/>
      <c r="J818" s="633"/>
      <c r="K818" s="633"/>
      <c r="L818" s="633"/>
      <c r="M818" s="724"/>
      <c r="N818" s="144"/>
    </row>
    <row r="819" spans="1:14" hidden="1">
      <c r="C819" s="813"/>
      <c r="D819" s="818"/>
      <c r="E819" s="360" t="s">
        <v>1487</v>
      </c>
      <c r="F819" s="632"/>
      <c r="G819" s="633"/>
      <c r="H819" s="633"/>
      <c r="I819" s="633"/>
      <c r="J819" s="633"/>
      <c r="K819" s="633"/>
      <c r="L819" s="633"/>
      <c r="M819" s="724"/>
      <c r="N819" s="144"/>
    </row>
    <row r="820" spans="1:14" hidden="1">
      <c r="C820" s="813"/>
      <c r="D820" s="818"/>
      <c r="E820" s="360" t="s">
        <v>1488</v>
      </c>
      <c r="F820" s="632"/>
      <c r="G820" s="633"/>
      <c r="H820" s="633"/>
      <c r="I820" s="633"/>
      <c r="J820" s="633"/>
      <c r="K820" s="633"/>
      <c r="L820" s="633"/>
      <c r="M820" s="724"/>
      <c r="N820" s="144"/>
    </row>
    <row r="821" spans="1:14" hidden="1">
      <c r="C821" s="815"/>
      <c r="D821" s="819"/>
      <c r="E821" s="360" t="s">
        <v>1489</v>
      </c>
      <c r="F821" s="632"/>
      <c r="G821" s="633"/>
      <c r="H821" s="633"/>
      <c r="I821" s="633"/>
      <c r="J821" s="633"/>
      <c r="K821" s="633"/>
      <c r="L821" s="633"/>
      <c r="M821" s="724"/>
      <c r="N821" s="144"/>
    </row>
    <row r="822" spans="1:14" ht="45" hidden="1" customHeight="1">
      <c r="C822" s="654" t="str">
        <f>IF($E812="No","Results of the consultation of airspace users' representatives", "Benefits for airspace users and results of the consultation of airspace users' representatives")</f>
        <v>Benefits for airspace users and results of the consultation of airspace users' representatives</v>
      </c>
      <c r="D822" s="655"/>
      <c r="E822" s="820"/>
      <c r="F822" s="809"/>
      <c r="G822" s="809"/>
      <c r="H822" s="809"/>
      <c r="I822" s="809"/>
      <c r="J822" s="809"/>
      <c r="K822" s="809"/>
      <c r="L822" s="809"/>
      <c r="M822" s="809"/>
      <c r="N822" s="144"/>
    </row>
    <row r="823" spans="1:14" hidden="1">
      <c r="C823" s="654" t="s">
        <v>996</v>
      </c>
      <c r="D823" s="655"/>
      <c r="E823" s="189" t="s">
        <v>240</v>
      </c>
      <c r="F823" s="806"/>
      <c r="G823" s="807"/>
      <c r="H823" s="807"/>
      <c r="I823" s="807"/>
      <c r="J823" s="807"/>
      <c r="K823" s="807"/>
      <c r="L823" s="807"/>
      <c r="M823" s="807"/>
      <c r="N823" s="144"/>
    </row>
    <row r="824" spans="1:14" hidden="1">
      <c r="C824" s="654" t="s">
        <v>326</v>
      </c>
      <c r="D824" s="655"/>
      <c r="E824" s="189" t="s">
        <v>240</v>
      </c>
      <c r="F824" s="806"/>
      <c r="G824" s="807"/>
      <c r="H824" s="807"/>
      <c r="I824" s="807"/>
      <c r="J824" s="807"/>
      <c r="K824" s="807"/>
      <c r="L824" s="807"/>
      <c r="M824" s="807"/>
      <c r="N824" s="144"/>
    </row>
    <row r="825" spans="1:14" ht="15" hidden="1" customHeight="1">
      <c r="C825" s="804" t="s">
        <v>997</v>
      </c>
      <c r="D825" s="805"/>
      <c r="E825" s="189" t="s">
        <v>240</v>
      </c>
      <c r="F825" s="806"/>
      <c r="G825" s="807"/>
      <c r="H825" s="807"/>
      <c r="I825" s="807"/>
      <c r="J825" s="807"/>
      <c r="K825" s="807"/>
      <c r="L825" s="807"/>
      <c r="M825" s="807"/>
      <c r="N825" s="144"/>
    </row>
    <row r="826" spans="1:14" ht="30" hidden="1" customHeight="1">
      <c r="C826" s="804" t="s">
        <v>327</v>
      </c>
      <c r="D826" s="805"/>
      <c r="E826" s="189" t="s">
        <v>240</v>
      </c>
      <c r="F826" s="806"/>
      <c r="G826" s="807"/>
      <c r="H826" s="807"/>
      <c r="I826" s="807"/>
      <c r="J826" s="807"/>
      <c r="K826" s="807"/>
      <c r="L826" s="807"/>
      <c r="M826" s="807"/>
      <c r="N826" s="144"/>
    </row>
    <row r="827" spans="1:14" ht="8.1" hidden="1" customHeight="1">
      <c r="C827" s="132"/>
      <c r="D827" s="132"/>
      <c r="E827" s="132"/>
      <c r="F827" s="132"/>
      <c r="G827" s="132"/>
      <c r="H827" s="132"/>
      <c r="I827" s="132"/>
      <c r="J827" s="132"/>
      <c r="K827" s="132"/>
      <c r="L827" s="132"/>
      <c r="M827" s="132"/>
    </row>
    <row r="828" spans="1:14" hidden="1"/>
    <row r="829" spans="1:14" hidden="1">
      <c r="A829" s="6" t="s">
        <v>693</v>
      </c>
      <c r="C829" s="798" t="s">
        <v>683</v>
      </c>
      <c r="D829" s="799"/>
      <c r="E829" s="800" t="str">
        <f>IF(C50="","",C50)</f>
        <v/>
      </c>
      <c r="F829" s="801"/>
      <c r="G829" s="801"/>
      <c r="H829" s="801"/>
      <c r="I829" s="801"/>
      <c r="J829" s="654" t="s">
        <v>322</v>
      </c>
      <c r="K829" s="655"/>
      <c r="L829" s="802">
        <f>D50</f>
        <v>0</v>
      </c>
      <c r="M829" s="803"/>
      <c r="N829" s="144"/>
    </row>
    <row r="830" spans="1:14" ht="45" hidden="1" customHeight="1">
      <c r="C830" s="654" t="s">
        <v>995</v>
      </c>
      <c r="D830" s="655"/>
      <c r="E830" s="808"/>
      <c r="F830" s="809"/>
      <c r="G830" s="809"/>
      <c r="H830" s="809"/>
      <c r="I830" s="809"/>
      <c r="J830" s="809"/>
      <c r="K830" s="809"/>
      <c r="L830" s="809"/>
      <c r="M830" s="809"/>
      <c r="N830" s="144"/>
    </row>
    <row r="831" spans="1:14" ht="60" hidden="1" customHeight="1">
      <c r="C831" s="810" t="str">
        <f>"The investment is mandated by a SES Regulation (i.e. PCP/CP1/Interoperability)?" &amp; IF($E831="yes"," Ref. to the Regulation and, if funded through Union assistance programmes, ref. to the relevant grant agreement.)","")</f>
        <v>The investment is mandated by a SES Regulation (i.e. PCP/CP1/Interoperability)?</v>
      </c>
      <c r="D831" s="811"/>
      <c r="E831" s="398" t="s">
        <v>240</v>
      </c>
      <c r="F831" s="632"/>
      <c r="G831" s="633"/>
      <c r="H831" s="633"/>
      <c r="I831" s="633"/>
      <c r="J831" s="633"/>
      <c r="K831" s="633"/>
      <c r="L831" s="633"/>
      <c r="M831" s="724"/>
      <c r="N831" s="144"/>
    </row>
    <row r="832" spans="1:14" ht="15" hidden="1" customHeight="1">
      <c r="C832" s="654" t="s">
        <v>1725</v>
      </c>
      <c r="D832" s="825"/>
      <c r="E832" s="417" t="s">
        <v>1550</v>
      </c>
      <c r="F832" s="417" t="s">
        <v>1551</v>
      </c>
      <c r="G832" s="417" t="s">
        <v>1552</v>
      </c>
      <c r="H832" s="417" t="s">
        <v>1553</v>
      </c>
      <c r="I832" s="417" t="s">
        <v>1554</v>
      </c>
      <c r="J832" s="417" t="s">
        <v>1555</v>
      </c>
      <c r="K832" s="417" t="s">
        <v>1556</v>
      </c>
      <c r="L832" s="821"/>
      <c r="M832" s="822"/>
      <c r="N832" s="144"/>
    </row>
    <row r="833" spans="1:14" ht="30" hidden="1" customHeight="1">
      <c r="C833" s="826"/>
      <c r="D833" s="827"/>
      <c r="E833" s="411"/>
      <c r="F833" s="411"/>
      <c r="G833" s="411"/>
      <c r="H833" s="411"/>
      <c r="I833" s="411"/>
      <c r="J833" s="411"/>
      <c r="K833" s="411"/>
      <c r="L833" s="823"/>
      <c r="M833" s="824"/>
      <c r="N833" s="144"/>
    </row>
    <row r="834" spans="1:14" ht="15" hidden="1" customHeight="1">
      <c r="C834" s="804" t="s">
        <v>1490</v>
      </c>
      <c r="D834" s="812"/>
      <c r="E834" s="399" t="s">
        <v>1484</v>
      </c>
      <c r="F834" s="632"/>
      <c r="G834" s="633"/>
      <c r="H834" s="633"/>
      <c r="I834" s="633"/>
      <c r="J834" s="633"/>
      <c r="K834" s="633"/>
      <c r="L834" s="633"/>
      <c r="M834" s="724"/>
      <c r="N834" s="144"/>
    </row>
    <row r="835" spans="1:14" hidden="1">
      <c r="C835" s="813"/>
      <c r="D835" s="814"/>
      <c r="E835" s="320" t="s">
        <v>1492</v>
      </c>
      <c r="F835" s="632"/>
      <c r="G835" s="633"/>
      <c r="H835" s="633"/>
      <c r="I835" s="633"/>
      <c r="J835" s="633"/>
      <c r="K835" s="633"/>
      <c r="L835" s="633"/>
      <c r="M835" s="724"/>
      <c r="N835" s="144"/>
    </row>
    <row r="836" spans="1:14" hidden="1">
      <c r="C836" s="815"/>
      <c r="D836" s="816"/>
      <c r="E836" s="400" t="s">
        <v>1485</v>
      </c>
      <c r="F836" s="632"/>
      <c r="G836" s="633"/>
      <c r="H836" s="633"/>
      <c r="I836" s="633"/>
      <c r="J836" s="633"/>
      <c r="K836" s="633"/>
      <c r="L836" s="633"/>
      <c r="M836" s="724"/>
      <c r="N836" s="144"/>
    </row>
    <row r="837" spans="1:14" hidden="1">
      <c r="C837" s="804" t="s">
        <v>1491</v>
      </c>
      <c r="D837" s="817"/>
      <c r="E837" s="360" t="s">
        <v>1486</v>
      </c>
      <c r="F837" s="632"/>
      <c r="G837" s="633"/>
      <c r="H837" s="633"/>
      <c r="I837" s="633"/>
      <c r="J837" s="633"/>
      <c r="K837" s="633"/>
      <c r="L837" s="633"/>
      <c r="M837" s="724"/>
      <c r="N837" s="144"/>
    </row>
    <row r="838" spans="1:14" hidden="1">
      <c r="C838" s="813"/>
      <c r="D838" s="818"/>
      <c r="E838" s="360" t="s">
        <v>1487</v>
      </c>
      <c r="F838" s="632"/>
      <c r="G838" s="633"/>
      <c r="H838" s="633"/>
      <c r="I838" s="633"/>
      <c r="J838" s="633"/>
      <c r="K838" s="633"/>
      <c r="L838" s="633"/>
      <c r="M838" s="724"/>
      <c r="N838" s="144"/>
    </row>
    <row r="839" spans="1:14" hidden="1">
      <c r="C839" s="813"/>
      <c r="D839" s="818"/>
      <c r="E839" s="360" t="s">
        <v>1488</v>
      </c>
      <c r="F839" s="632"/>
      <c r="G839" s="633"/>
      <c r="H839" s="633"/>
      <c r="I839" s="633"/>
      <c r="J839" s="633"/>
      <c r="K839" s="633"/>
      <c r="L839" s="633"/>
      <c r="M839" s="724"/>
      <c r="N839" s="144"/>
    </row>
    <row r="840" spans="1:14" hidden="1">
      <c r="C840" s="815"/>
      <c r="D840" s="819"/>
      <c r="E840" s="360" t="s">
        <v>1489</v>
      </c>
      <c r="F840" s="632"/>
      <c r="G840" s="633"/>
      <c r="H840" s="633"/>
      <c r="I840" s="633"/>
      <c r="J840" s="633"/>
      <c r="K840" s="633"/>
      <c r="L840" s="633"/>
      <c r="M840" s="724"/>
      <c r="N840" s="144"/>
    </row>
    <row r="841" spans="1:14" ht="45" hidden="1" customHeight="1">
      <c r="C841" s="654" t="str">
        <f>IF($E831="No","Results of the consultation of airspace users' representatives", "Benefits for airspace users and results of the consultation of airspace users' representatives")</f>
        <v>Benefits for airspace users and results of the consultation of airspace users' representatives</v>
      </c>
      <c r="D841" s="655"/>
      <c r="E841" s="820"/>
      <c r="F841" s="809"/>
      <c r="G841" s="809"/>
      <c r="H841" s="809"/>
      <c r="I841" s="809"/>
      <c r="J841" s="809"/>
      <c r="K841" s="809"/>
      <c r="L841" s="809"/>
      <c r="M841" s="809"/>
      <c r="N841" s="144"/>
    </row>
    <row r="842" spans="1:14" hidden="1">
      <c r="C842" s="654" t="s">
        <v>996</v>
      </c>
      <c r="D842" s="655"/>
      <c r="E842" s="189" t="s">
        <v>240</v>
      </c>
      <c r="F842" s="806"/>
      <c r="G842" s="807"/>
      <c r="H842" s="807"/>
      <c r="I842" s="807"/>
      <c r="J842" s="807"/>
      <c r="K842" s="807"/>
      <c r="L842" s="807"/>
      <c r="M842" s="807"/>
      <c r="N842" s="144"/>
    </row>
    <row r="843" spans="1:14" hidden="1">
      <c r="C843" s="654" t="s">
        <v>326</v>
      </c>
      <c r="D843" s="655"/>
      <c r="E843" s="189" t="s">
        <v>240</v>
      </c>
      <c r="F843" s="806"/>
      <c r="G843" s="807"/>
      <c r="H843" s="807"/>
      <c r="I843" s="807"/>
      <c r="J843" s="807"/>
      <c r="K843" s="807"/>
      <c r="L843" s="807"/>
      <c r="M843" s="807"/>
      <c r="N843" s="144"/>
    </row>
    <row r="844" spans="1:14" ht="30" hidden="1" customHeight="1">
      <c r="C844" s="804" t="s">
        <v>997</v>
      </c>
      <c r="D844" s="805"/>
      <c r="E844" s="189" t="s">
        <v>240</v>
      </c>
      <c r="F844" s="806"/>
      <c r="G844" s="807"/>
      <c r="H844" s="807"/>
      <c r="I844" s="807"/>
      <c r="J844" s="807"/>
      <c r="K844" s="807"/>
      <c r="L844" s="807"/>
      <c r="M844" s="807"/>
      <c r="N844" s="144"/>
    </row>
    <row r="845" spans="1:14" ht="30" hidden="1" customHeight="1">
      <c r="C845" s="804" t="s">
        <v>327</v>
      </c>
      <c r="D845" s="805"/>
      <c r="E845" s="189" t="s">
        <v>240</v>
      </c>
      <c r="F845" s="806"/>
      <c r="G845" s="807"/>
      <c r="H845" s="807"/>
      <c r="I845" s="807"/>
      <c r="J845" s="807"/>
      <c r="K845" s="807"/>
      <c r="L845" s="807"/>
      <c r="M845" s="807"/>
      <c r="N845" s="144"/>
    </row>
    <row r="846" spans="1:14" ht="8.1" hidden="1" customHeight="1">
      <c r="C846" s="132"/>
      <c r="D846" s="132"/>
      <c r="E846" s="132"/>
      <c r="F846" s="132"/>
      <c r="G846" s="132"/>
      <c r="H846" s="132"/>
      <c r="I846" s="132"/>
      <c r="J846" s="132"/>
      <c r="K846" s="132"/>
      <c r="L846" s="132"/>
      <c r="M846" s="132"/>
    </row>
    <row r="847" spans="1:14" hidden="1"/>
    <row r="848" spans="1:14" hidden="1">
      <c r="A848" s="6" t="s">
        <v>693</v>
      </c>
      <c r="C848" s="798" t="s">
        <v>673</v>
      </c>
      <c r="D848" s="799"/>
      <c r="E848" s="800" t="str">
        <f>IF(C51="","",C51)</f>
        <v/>
      </c>
      <c r="F848" s="801"/>
      <c r="G848" s="801"/>
      <c r="H848" s="801"/>
      <c r="I848" s="801"/>
      <c r="J848" s="654" t="s">
        <v>322</v>
      </c>
      <c r="K848" s="655"/>
      <c r="L848" s="802">
        <f>D51</f>
        <v>0</v>
      </c>
      <c r="M848" s="803"/>
      <c r="N848" s="144"/>
    </row>
    <row r="849" spans="3:14" ht="45" hidden="1" customHeight="1">
      <c r="C849" s="654" t="s">
        <v>995</v>
      </c>
      <c r="D849" s="655"/>
      <c r="E849" s="808"/>
      <c r="F849" s="809"/>
      <c r="G849" s="809"/>
      <c r="H849" s="809"/>
      <c r="I849" s="809"/>
      <c r="J849" s="809"/>
      <c r="K849" s="809"/>
      <c r="L849" s="809"/>
      <c r="M849" s="809"/>
      <c r="N849" s="144"/>
    </row>
    <row r="850" spans="3:14" ht="60" hidden="1" customHeight="1">
      <c r="C850" s="810" t="str">
        <f>"The investment is mandated by a SES Regulation (i.e. PCP/CP1/Interoperability)?" &amp; IF($E850="yes"," Ref. to the Regulation and, if funded through Union assistance programmes, ref. to the relevant grant agreement.)","")</f>
        <v>The investment is mandated by a SES Regulation (i.e. PCP/CP1/Interoperability)?</v>
      </c>
      <c r="D850" s="811"/>
      <c r="E850" s="398" t="s">
        <v>240</v>
      </c>
      <c r="F850" s="632"/>
      <c r="G850" s="633"/>
      <c r="H850" s="633"/>
      <c r="I850" s="633"/>
      <c r="J850" s="633"/>
      <c r="K850" s="633"/>
      <c r="L850" s="633"/>
      <c r="M850" s="724"/>
      <c r="N850" s="144"/>
    </row>
    <row r="851" spans="3:14" ht="15" hidden="1" customHeight="1">
      <c r="C851" s="654" t="s">
        <v>1725</v>
      </c>
      <c r="D851" s="825"/>
      <c r="E851" s="417" t="s">
        <v>1550</v>
      </c>
      <c r="F851" s="417" t="s">
        <v>1551</v>
      </c>
      <c r="G851" s="417" t="s">
        <v>1552</v>
      </c>
      <c r="H851" s="417" t="s">
        <v>1553</v>
      </c>
      <c r="I851" s="417" t="s">
        <v>1554</v>
      </c>
      <c r="J851" s="417" t="s">
        <v>1555</v>
      </c>
      <c r="K851" s="417" t="s">
        <v>1556</v>
      </c>
      <c r="L851" s="821"/>
      <c r="M851" s="822"/>
      <c r="N851" s="144"/>
    </row>
    <row r="852" spans="3:14" ht="30" hidden="1" customHeight="1">
      <c r="C852" s="826"/>
      <c r="D852" s="827"/>
      <c r="E852" s="411"/>
      <c r="F852" s="411"/>
      <c r="G852" s="411"/>
      <c r="H852" s="411"/>
      <c r="I852" s="411"/>
      <c r="J852" s="411"/>
      <c r="K852" s="411"/>
      <c r="L852" s="823"/>
      <c r="M852" s="824"/>
      <c r="N852" s="144"/>
    </row>
    <row r="853" spans="3:14" ht="15" hidden="1" customHeight="1">
      <c r="C853" s="804" t="s">
        <v>1490</v>
      </c>
      <c r="D853" s="812"/>
      <c r="E853" s="399" t="s">
        <v>1484</v>
      </c>
      <c r="F853" s="632"/>
      <c r="G853" s="633"/>
      <c r="H853" s="633"/>
      <c r="I853" s="633"/>
      <c r="J853" s="633"/>
      <c r="K853" s="633"/>
      <c r="L853" s="633"/>
      <c r="M853" s="724"/>
      <c r="N853" s="144"/>
    </row>
    <row r="854" spans="3:14" hidden="1">
      <c r="C854" s="813"/>
      <c r="D854" s="814"/>
      <c r="E854" s="320" t="s">
        <v>1492</v>
      </c>
      <c r="F854" s="632"/>
      <c r="G854" s="633"/>
      <c r="H854" s="633"/>
      <c r="I854" s="633"/>
      <c r="J854" s="633"/>
      <c r="K854" s="633"/>
      <c r="L854" s="633"/>
      <c r="M854" s="724"/>
      <c r="N854" s="144"/>
    </row>
    <row r="855" spans="3:14" hidden="1">
      <c r="C855" s="815"/>
      <c r="D855" s="816"/>
      <c r="E855" s="400" t="s">
        <v>1485</v>
      </c>
      <c r="F855" s="632"/>
      <c r="G855" s="633"/>
      <c r="H855" s="633"/>
      <c r="I855" s="633"/>
      <c r="J855" s="633"/>
      <c r="K855" s="633"/>
      <c r="L855" s="633"/>
      <c r="M855" s="724"/>
      <c r="N855" s="144"/>
    </row>
    <row r="856" spans="3:14" hidden="1">
      <c r="C856" s="804" t="s">
        <v>1491</v>
      </c>
      <c r="D856" s="817"/>
      <c r="E856" s="360" t="s">
        <v>1486</v>
      </c>
      <c r="F856" s="632"/>
      <c r="G856" s="633"/>
      <c r="H856" s="633"/>
      <c r="I856" s="633"/>
      <c r="J856" s="633"/>
      <c r="K856" s="633"/>
      <c r="L856" s="633"/>
      <c r="M856" s="724"/>
      <c r="N856" s="144"/>
    </row>
    <row r="857" spans="3:14" hidden="1">
      <c r="C857" s="813"/>
      <c r="D857" s="818"/>
      <c r="E857" s="360" t="s">
        <v>1487</v>
      </c>
      <c r="F857" s="632"/>
      <c r="G857" s="633"/>
      <c r="H857" s="633"/>
      <c r="I857" s="633"/>
      <c r="J857" s="633"/>
      <c r="K857" s="633"/>
      <c r="L857" s="633"/>
      <c r="M857" s="724"/>
      <c r="N857" s="144"/>
    </row>
    <row r="858" spans="3:14" hidden="1">
      <c r="C858" s="813"/>
      <c r="D858" s="818"/>
      <c r="E858" s="360" t="s">
        <v>1488</v>
      </c>
      <c r="F858" s="632"/>
      <c r="G858" s="633"/>
      <c r="H858" s="633"/>
      <c r="I858" s="633"/>
      <c r="J858" s="633"/>
      <c r="K858" s="633"/>
      <c r="L858" s="633"/>
      <c r="M858" s="724"/>
      <c r="N858" s="144"/>
    </row>
    <row r="859" spans="3:14" hidden="1">
      <c r="C859" s="815"/>
      <c r="D859" s="819"/>
      <c r="E859" s="360" t="s">
        <v>1489</v>
      </c>
      <c r="F859" s="632"/>
      <c r="G859" s="633"/>
      <c r="H859" s="633"/>
      <c r="I859" s="633"/>
      <c r="J859" s="633"/>
      <c r="K859" s="633"/>
      <c r="L859" s="633"/>
      <c r="M859" s="724"/>
      <c r="N859" s="144"/>
    </row>
    <row r="860" spans="3:14" ht="45" hidden="1" customHeight="1">
      <c r="C860" s="654" t="str">
        <f>IF($E850="No","Results of the consultation of airspace users' representatives", "Benefits for airspace users and results of the consultation of airspace users' representatives")</f>
        <v>Benefits for airspace users and results of the consultation of airspace users' representatives</v>
      </c>
      <c r="D860" s="655"/>
      <c r="E860" s="820"/>
      <c r="F860" s="809"/>
      <c r="G860" s="809"/>
      <c r="H860" s="809"/>
      <c r="I860" s="809"/>
      <c r="J860" s="809"/>
      <c r="K860" s="809"/>
      <c r="L860" s="809"/>
      <c r="M860" s="809"/>
      <c r="N860" s="144"/>
    </row>
    <row r="861" spans="3:14" hidden="1">
      <c r="C861" s="654" t="s">
        <v>996</v>
      </c>
      <c r="D861" s="655"/>
      <c r="E861" s="189" t="s">
        <v>240</v>
      </c>
      <c r="F861" s="806"/>
      <c r="G861" s="807"/>
      <c r="H861" s="807"/>
      <c r="I861" s="807"/>
      <c r="J861" s="807"/>
      <c r="K861" s="807"/>
      <c r="L861" s="807"/>
      <c r="M861" s="807"/>
      <c r="N861" s="144"/>
    </row>
    <row r="862" spans="3:14" hidden="1">
      <c r="C862" s="654" t="s">
        <v>326</v>
      </c>
      <c r="D862" s="655"/>
      <c r="E862" s="189" t="s">
        <v>240</v>
      </c>
      <c r="F862" s="806"/>
      <c r="G862" s="807"/>
      <c r="H862" s="807"/>
      <c r="I862" s="807"/>
      <c r="J862" s="807"/>
      <c r="K862" s="807"/>
      <c r="L862" s="807"/>
      <c r="M862" s="807"/>
      <c r="N862" s="144"/>
    </row>
    <row r="863" spans="3:14" ht="15" hidden="1" customHeight="1">
      <c r="C863" s="804" t="s">
        <v>997</v>
      </c>
      <c r="D863" s="805"/>
      <c r="E863" s="189" t="s">
        <v>240</v>
      </c>
      <c r="F863" s="806"/>
      <c r="G863" s="807"/>
      <c r="H863" s="807"/>
      <c r="I863" s="807"/>
      <c r="J863" s="807"/>
      <c r="K863" s="807"/>
      <c r="L863" s="807"/>
      <c r="M863" s="807"/>
      <c r="N863" s="144"/>
    </row>
    <row r="864" spans="3:14" ht="30" hidden="1" customHeight="1">
      <c r="C864" s="804" t="s">
        <v>327</v>
      </c>
      <c r="D864" s="805"/>
      <c r="E864" s="189" t="s">
        <v>240</v>
      </c>
      <c r="F864" s="806"/>
      <c r="G864" s="807"/>
      <c r="H864" s="807"/>
      <c r="I864" s="807"/>
      <c r="J864" s="807"/>
      <c r="K864" s="807"/>
      <c r="L864" s="807"/>
      <c r="M864" s="807"/>
      <c r="N864" s="144"/>
    </row>
    <row r="865" spans="1:14" ht="8.1" hidden="1" customHeight="1">
      <c r="C865" s="132"/>
      <c r="D865" s="132"/>
      <c r="E865" s="132"/>
      <c r="F865" s="132"/>
      <c r="G865" s="132"/>
      <c r="H865" s="132"/>
      <c r="I865" s="132"/>
      <c r="J865" s="132"/>
      <c r="K865" s="132"/>
      <c r="L865" s="132"/>
      <c r="M865" s="132"/>
    </row>
    <row r="866" spans="1:14" hidden="1"/>
    <row r="867" spans="1:14" hidden="1">
      <c r="A867" s="6" t="s">
        <v>693</v>
      </c>
      <c r="C867" s="798" t="s">
        <v>684</v>
      </c>
      <c r="D867" s="799"/>
      <c r="E867" s="800" t="str">
        <f>IF(C52="","",C52)</f>
        <v/>
      </c>
      <c r="F867" s="801"/>
      <c r="G867" s="801"/>
      <c r="H867" s="801"/>
      <c r="I867" s="801"/>
      <c r="J867" s="654" t="s">
        <v>322</v>
      </c>
      <c r="K867" s="655"/>
      <c r="L867" s="802">
        <f>D52</f>
        <v>0</v>
      </c>
      <c r="M867" s="803"/>
      <c r="N867" s="144"/>
    </row>
    <row r="868" spans="1:14" ht="45" hidden="1" customHeight="1">
      <c r="C868" s="654" t="s">
        <v>995</v>
      </c>
      <c r="D868" s="655"/>
      <c r="E868" s="808"/>
      <c r="F868" s="809"/>
      <c r="G868" s="809"/>
      <c r="H868" s="809"/>
      <c r="I868" s="809"/>
      <c r="J868" s="809"/>
      <c r="K868" s="809"/>
      <c r="L868" s="809"/>
      <c r="M868" s="809"/>
      <c r="N868" s="144"/>
    </row>
    <row r="869" spans="1:14" ht="60" hidden="1" customHeight="1">
      <c r="C869" s="810" t="str">
        <f>"The investment is mandated by a SES Regulation (i.e. PCP/CP1/Interoperability)?" &amp; IF($E869="yes"," Ref. to the Regulation and, if funded through Union assistance programmes, ref. to the relevant grant agreement.)","")</f>
        <v>The investment is mandated by a SES Regulation (i.e. PCP/CP1/Interoperability)?</v>
      </c>
      <c r="D869" s="811"/>
      <c r="E869" s="398" t="s">
        <v>240</v>
      </c>
      <c r="F869" s="632"/>
      <c r="G869" s="633"/>
      <c r="H869" s="633"/>
      <c r="I869" s="633"/>
      <c r="J869" s="633"/>
      <c r="K869" s="633"/>
      <c r="L869" s="633"/>
      <c r="M869" s="724"/>
      <c r="N869" s="144"/>
    </row>
    <row r="870" spans="1:14" ht="15" hidden="1" customHeight="1">
      <c r="C870" s="654" t="s">
        <v>1725</v>
      </c>
      <c r="D870" s="825"/>
      <c r="E870" s="417" t="s">
        <v>1550</v>
      </c>
      <c r="F870" s="417" t="s">
        <v>1551</v>
      </c>
      <c r="G870" s="417" t="s">
        <v>1552</v>
      </c>
      <c r="H870" s="417" t="s">
        <v>1553</v>
      </c>
      <c r="I870" s="417" t="s">
        <v>1554</v>
      </c>
      <c r="J870" s="417" t="s">
        <v>1555</v>
      </c>
      <c r="K870" s="417" t="s">
        <v>1556</v>
      </c>
      <c r="L870" s="821"/>
      <c r="M870" s="822"/>
      <c r="N870" s="144"/>
    </row>
    <row r="871" spans="1:14" ht="30" hidden="1" customHeight="1">
      <c r="C871" s="826"/>
      <c r="D871" s="827"/>
      <c r="E871" s="411"/>
      <c r="F871" s="411"/>
      <c r="G871" s="411"/>
      <c r="H871" s="411"/>
      <c r="I871" s="411"/>
      <c r="J871" s="411"/>
      <c r="K871" s="411"/>
      <c r="L871" s="823"/>
      <c r="M871" s="824"/>
      <c r="N871" s="144"/>
    </row>
    <row r="872" spans="1:14" ht="15" hidden="1" customHeight="1">
      <c r="C872" s="804" t="s">
        <v>1490</v>
      </c>
      <c r="D872" s="812"/>
      <c r="E872" s="399" t="s">
        <v>1484</v>
      </c>
      <c r="F872" s="632"/>
      <c r="G872" s="633"/>
      <c r="H872" s="633"/>
      <c r="I872" s="633"/>
      <c r="J872" s="633"/>
      <c r="K872" s="633"/>
      <c r="L872" s="633"/>
      <c r="M872" s="724"/>
      <c r="N872" s="144"/>
    </row>
    <row r="873" spans="1:14" hidden="1">
      <c r="C873" s="813"/>
      <c r="D873" s="814"/>
      <c r="E873" s="320" t="s">
        <v>1492</v>
      </c>
      <c r="F873" s="632"/>
      <c r="G873" s="633"/>
      <c r="H873" s="633"/>
      <c r="I873" s="633"/>
      <c r="J873" s="633"/>
      <c r="K873" s="633"/>
      <c r="L873" s="633"/>
      <c r="M873" s="724"/>
      <c r="N873" s="144"/>
    </row>
    <row r="874" spans="1:14" hidden="1">
      <c r="C874" s="815"/>
      <c r="D874" s="816"/>
      <c r="E874" s="400" t="s">
        <v>1485</v>
      </c>
      <c r="F874" s="632"/>
      <c r="G874" s="633"/>
      <c r="H874" s="633"/>
      <c r="I874" s="633"/>
      <c r="J874" s="633"/>
      <c r="K874" s="633"/>
      <c r="L874" s="633"/>
      <c r="M874" s="724"/>
      <c r="N874" s="144"/>
    </row>
    <row r="875" spans="1:14" hidden="1">
      <c r="C875" s="804" t="s">
        <v>1491</v>
      </c>
      <c r="D875" s="817"/>
      <c r="E875" s="360" t="s">
        <v>1486</v>
      </c>
      <c r="F875" s="632"/>
      <c r="G875" s="633"/>
      <c r="H875" s="633"/>
      <c r="I875" s="633"/>
      <c r="J875" s="633"/>
      <c r="K875" s="633"/>
      <c r="L875" s="633"/>
      <c r="M875" s="724"/>
      <c r="N875" s="144"/>
    </row>
    <row r="876" spans="1:14" hidden="1">
      <c r="C876" s="813"/>
      <c r="D876" s="818"/>
      <c r="E876" s="360" t="s">
        <v>1487</v>
      </c>
      <c r="F876" s="632"/>
      <c r="G876" s="633"/>
      <c r="H876" s="633"/>
      <c r="I876" s="633"/>
      <c r="J876" s="633"/>
      <c r="K876" s="633"/>
      <c r="L876" s="633"/>
      <c r="M876" s="724"/>
      <c r="N876" s="144"/>
    </row>
    <row r="877" spans="1:14" hidden="1">
      <c r="C877" s="813"/>
      <c r="D877" s="818"/>
      <c r="E877" s="360" t="s">
        <v>1488</v>
      </c>
      <c r="F877" s="632"/>
      <c r="G877" s="633"/>
      <c r="H877" s="633"/>
      <c r="I877" s="633"/>
      <c r="J877" s="633"/>
      <c r="K877" s="633"/>
      <c r="L877" s="633"/>
      <c r="M877" s="724"/>
      <c r="N877" s="144"/>
    </row>
    <row r="878" spans="1:14" hidden="1">
      <c r="C878" s="815"/>
      <c r="D878" s="819"/>
      <c r="E878" s="360" t="s">
        <v>1489</v>
      </c>
      <c r="F878" s="632"/>
      <c r="G878" s="633"/>
      <c r="H878" s="633"/>
      <c r="I878" s="633"/>
      <c r="J878" s="633"/>
      <c r="K878" s="633"/>
      <c r="L878" s="633"/>
      <c r="M878" s="724"/>
      <c r="N878" s="144"/>
    </row>
    <row r="879" spans="1:14" ht="45" hidden="1" customHeight="1">
      <c r="C879" s="654" t="str">
        <f>IF($E869="No","Results of the consultation of airspace users' representatives", "Benefits for airspace users and results of the consultation of airspace users' representatives")</f>
        <v>Benefits for airspace users and results of the consultation of airspace users' representatives</v>
      </c>
      <c r="D879" s="655"/>
      <c r="E879" s="820"/>
      <c r="F879" s="809"/>
      <c r="G879" s="809"/>
      <c r="H879" s="809"/>
      <c r="I879" s="809"/>
      <c r="J879" s="809"/>
      <c r="K879" s="809"/>
      <c r="L879" s="809"/>
      <c r="M879" s="809"/>
      <c r="N879" s="144"/>
    </row>
    <row r="880" spans="1:14" hidden="1">
      <c r="C880" s="654" t="s">
        <v>996</v>
      </c>
      <c r="D880" s="655"/>
      <c r="E880" s="189" t="s">
        <v>240</v>
      </c>
      <c r="F880" s="806"/>
      <c r="G880" s="807"/>
      <c r="H880" s="807"/>
      <c r="I880" s="807"/>
      <c r="J880" s="807"/>
      <c r="K880" s="807"/>
      <c r="L880" s="807"/>
      <c r="M880" s="807"/>
      <c r="N880" s="144"/>
    </row>
    <row r="881" spans="1:14" hidden="1">
      <c r="C881" s="654" t="s">
        <v>326</v>
      </c>
      <c r="D881" s="655"/>
      <c r="E881" s="189" t="s">
        <v>240</v>
      </c>
      <c r="F881" s="806"/>
      <c r="G881" s="807"/>
      <c r="H881" s="807"/>
      <c r="I881" s="807"/>
      <c r="J881" s="807"/>
      <c r="K881" s="807"/>
      <c r="L881" s="807"/>
      <c r="M881" s="807"/>
      <c r="N881" s="144"/>
    </row>
    <row r="882" spans="1:14" ht="15" hidden="1" customHeight="1">
      <c r="C882" s="804" t="s">
        <v>997</v>
      </c>
      <c r="D882" s="805"/>
      <c r="E882" s="189" t="s">
        <v>240</v>
      </c>
      <c r="F882" s="806"/>
      <c r="G882" s="807"/>
      <c r="H882" s="807"/>
      <c r="I882" s="807"/>
      <c r="J882" s="807"/>
      <c r="K882" s="807"/>
      <c r="L882" s="807"/>
      <c r="M882" s="807"/>
      <c r="N882" s="144"/>
    </row>
    <row r="883" spans="1:14" ht="30" hidden="1" customHeight="1">
      <c r="C883" s="804" t="s">
        <v>327</v>
      </c>
      <c r="D883" s="805"/>
      <c r="E883" s="189" t="s">
        <v>240</v>
      </c>
      <c r="F883" s="806"/>
      <c r="G883" s="807"/>
      <c r="H883" s="807"/>
      <c r="I883" s="807"/>
      <c r="J883" s="807"/>
      <c r="K883" s="807"/>
      <c r="L883" s="807"/>
      <c r="M883" s="807"/>
      <c r="N883" s="144"/>
    </row>
    <row r="884" spans="1:14" ht="8.1" hidden="1" customHeight="1">
      <c r="C884" s="132"/>
      <c r="D884" s="132"/>
      <c r="E884" s="132"/>
      <c r="F884" s="132"/>
      <c r="G884" s="132"/>
      <c r="H884" s="132"/>
      <c r="I884" s="132"/>
      <c r="J884" s="132"/>
      <c r="K884" s="132"/>
      <c r="L884" s="132"/>
      <c r="M884" s="132"/>
    </row>
    <row r="885" spans="1:14" hidden="1"/>
    <row r="886" spans="1:14" hidden="1">
      <c r="A886" s="6" t="s">
        <v>693</v>
      </c>
      <c r="C886" s="798" t="s">
        <v>685</v>
      </c>
      <c r="D886" s="799"/>
      <c r="E886" s="800" t="str">
        <f>IF(C53="","",C53)</f>
        <v/>
      </c>
      <c r="F886" s="801"/>
      <c r="G886" s="801"/>
      <c r="H886" s="801"/>
      <c r="I886" s="801"/>
      <c r="J886" s="654" t="s">
        <v>322</v>
      </c>
      <c r="K886" s="655"/>
      <c r="L886" s="802">
        <f>D53</f>
        <v>0</v>
      </c>
      <c r="M886" s="803"/>
      <c r="N886" s="144"/>
    </row>
    <row r="887" spans="1:14" ht="45" hidden="1" customHeight="1">
      <c r="C887" s="654" t="s">
        <v>995</v>
      </c>
      <c r="D887" s="655"/>
      <c r="E887" s="808"/>
      <c r="F887" s="809"/>
      <c r="G887" s="809"/>
      <c r="H887" s="809"/>
      <c r="I887" s="809"/>
      <c r="J887" s="809"/>
      <c r="K887" s="809"/>
      <c r="L887" s="809"/>
      <c r="M887" s="809"/>
      <c r="N887" s="144"/>
    </row>
    <row r="888" spans="1:14" ht="60" hidden="1" customHeight="1">
      <c r="C888" s="810" t="str">
        <f>"The investment is mandated by a SES Regulation (i.e. PCP/CP1/Interoperability)?" &amp; IF($E888="yes"," Ref. to the Regulation and, if funded through Union assistance programmes, ref. to the relevant grant agreement.)","")</f>
        <v>The investment is mandated by a SES Regulation (i.e. PCP/CP1/Interoperability)?</v>
      </c>
      <c r="D888" s="811"/>
      <c r="E888" s="398" t="s">
        <v>240</v>
      </c>
      <c r="F888" s="632"/>
      <c r="G888" s="633"/>
      <c r="H888" s="633"/>
      <c r="I888" s="633"/>
      <c r="J888" s="633"/>
      <c r="K888" s="633"/>
      <c r="L888" s="633"/>
      <c r="M888" s="724"/>
      <c r="N888" s="144"/>
    </row>
    <row r="889" spans="1:14" ht="15" hidden="1" customHeight="1">
      <c r="C889" s="654" t="s">
        <v>1725</v>
      </c>
      <c r="D889" s="825"/>
      <c r="E889" s="417" t="s">
        <v>1550</v>
      </c>
      <c r="F889" s="417" t="s">
        <v>1551</v>
      </c>
      <c r="G889" s="417" t="s">
        <v>1552</v>
      </c>
      <c r="H889" s="417" t="s">
        <v>1553</v>
      </c>
      <c r="I889" s="417" t="s">
        <v>1554</v>
      </c>
      <c r="J889" s="417" t="s">
        <v>1555</v>
      </c>
      <c r="K889" s="417" t="s">
        <v>1556</v>
      </c>
      <c r="L889" s="821"/>
      <c r="M889" s="822"/>
      <c r="N889" s="144"/>
    </row>
    <row r="890" spans="1:14" ht="30" hidden="1" customHeight="1">
      <c r="C890" s="826"/>
      <c r="D890" s="827"/>
      <c r="E890" s="411"/>
      <c r="F890" s="411"/>
      <c r="G890" s="411"/>
      <c r="H890" s="411"/>
      <c r="I890" s="411"/>
      <c r="J890" s="411"/>
      <c r="K890" s="411"/>
      <c r="L890" s="823"/>
      <c r="M890" s="824"/>
      <c r="N890" s="144"/>
    </row>
    <row r="891" spans="1:14" ht="15" hidden="1" customHeight="1">
      <c r="C891" s="804" t="s">
        <v>1490</v>
      </c>
      <c r="D891" s="812"/>
      <c r="E891" s="399" t="s">
        <v>1484</v>
      </c>
      <c r="F891" s="632"/>
      <c r="G891" s="633"/>
      <c r="H891" s="633"/>
      <c r="I891" s="633"/>
      <c r="J891" s="633"/>
      <c r="K891" s="633"/>
      <c r="L891" s="633"/>
      <c r="M891" s="724"/>
      <c r="N891" s="144"/>
    </row>
    <row r="892" spans="1:14" hidden="1">
      <c r="C892" s="813"/>
      <c r="D892" s="814"/>
      <c r="E892" s="320" t="s">
        <v>1492</v>
      </c>
      <c r="F892" s="632"/>
      <c r="G892" s="633"/>
      <c r="H892" s="633"/>
      <c r="I892" s="633"/>
      <c r="J892" s="633"/>
      <c r="K892" s="633"/>
      <c r="L892" s="633"/>
      <c r="M892" s="724"/>
      <c r="N892" s="144"/>
    </row>
    <row r="893" spans="1:14" hidden="1">
      <c r="C893" s="815"/>
      <c r="D893" s="816"/>
      <c r="E893" s="400" t="s">
        <v>1485</v>
      </c>
      <c r="F893" s="632"/>
      <c r="G893" s="633"/>
      <c r="H893" s="633"/>
      <c r="I893" s="633"/>
      <c r="J893" s="633"/>
      <c r="K893" s="633"/>
      <c r="L893" s="633"/>
      <c r="M893" s="724"/>
      <c r="N893" s="144"/>
    </row>
    <row r="894" spans="1:14" hidden="1">
      <c r="C894" s="804" t="s">
        <v>1491</v>
      </c>
      <c r="D894" s="817"/>
      <c r="E894" s="360" t="s">
        <v>1486</v>
      </c>
      <c r="F894" s="632"/>
      <c r="G894" s="633"/>
      <c r="H894" s="633"/>
      <c r="I894" s="633"/>
      <c r="J894" s="633"/>
      <c r="K894" s="633"/>
      <c r="L894" s="633"/>
      <c r="M894" s="724"/>
      <c r="N894" s="144"/>
    </row>
    <row r="895" spans="1:14" hidden="1">
      <c r="C895" s="813"/>
      <c r="D895" s="818"/>
      <c r="E895" s="360" t="s">
        <v>1487</v>
      </c>
      <c r="F895" s="632"/>
      <c r="G895" s="633"/>
      <c r="H895" s="633"/>
      <c r="I895" s="633"/>
      <c r="J895" s="633"/>
      <c r="K895" s="633"/>
      <c r="L895" s="633"/>
      <c r="M895" s="724"/>
      <c r="N895" s="144"/>
    </row>
    <row r="896" spans="1:14" hidden="1">
      <c r="C896" s="813"/>
      <c r="D896" s="818"/>
      <c r="E896" s="360" t="s">
        <v>1488</v>
      </c>
      <c r="F896" s="632"/>
      <c r="G896" s="633"/>
      <c r="H896" s="633"/>
      <c r="I896" s="633"/>
      <c r="J896" s="633"/>
      <c r="K896" s="633"/>
      <c r="L896" s="633"/>
      <c r="M896" s="724"/>
      <c r="N896" s="144"/>
    </row>
    <row r="897" spans="1:14" hidden="1">
      <c r="C897" s="815"/>
      <c r="D897" s="819"/>
      <c r="E897" s="360" t="s">
        <v>1489</v>
      </c>
      <c r="F897" s="632"/>
      <c r="G897" s="633"/>
      <c r="H897" s="633"/>
      <c r="I897" s="633"/>
      <c r="J897" s="633"/>
      <c r="K897" s="633"/>
      <c r="L897" s="633"/>
      <c r="M897" s="724"/>
      <c r="N897" s="144"/>
    </row>
    <row r="898" spans="1:14" ht="45" hidden="1" customHeight="1">
      <c r="C898" s="654" t="str">
        <f>IF($E888="No","Results of the consultation of airspace users' representatives", "Benefits for airspace users and results of the consultation of airspace users' representatives")</f>
        <v>Benefits for airspace users and results of the consultation of airspace users' representatives</v>
      </c>
      <c r="D898" s="655"/>
      <c r="E898" s="820"/>
      <c r="F898" s="809"/>
      <c r="G898" s="809"/>
      <c r="H898" s="809"/>
      <c r="I898" s="809"/>
      <c r="J898" s="809"/>
      <c r="K898" s="809"/>
      <c r="L898" s="809"/>
      <c r="M898" s="809"/>
      <c r="N898" s="144"/>
    </row>
    <row r="899" spans="1:14" hidden="1">
      <c r="C899" s="654" t="s">
        <v>996</v>
      </c>
      <c r="D899" s="655"/>
      <c r="E899" s="189" t="s">
        <v>240</v>
      </c>
      <c r="F899" s="806"/>
      <c r="G899" s="807"/>
      <c r="H899" s="807"/>
      <c r="I899" s="807"/>
      <c r="J899" s="807"/>
      <c r="K899" s="807"/>
      <c r="L899" s="807"/>
      <c r="M899" s="807"/>
      <c r="N899" s="144"/>
    </row>
    <row r="900" spans="1:14" hidden="1">
      <c r="C900" s="654" t="s">
        <v>326</v>
      </c>
      <c r="D900" s="655"/>
      <c r="E900" s="189" t="s">
        <v>240</v>
      </c>
      <c r="F900" s="806"/>
      <c r="G900" s="807"/>
      <c r="H900" s="807"/>
      <c r="I900" s="807"/>
      <c r="J900" s="807"/>
      <c r="K900" s="807"/>
      <c r="L900" s="807"/>
      <c r="M900" s="807"/>
      <c r="N900" s="144"/>
    </row>
    <row r="901" spans="1:14" ht="15" hidden="1" customHeight="1">
      <c r="C901" s="804" t="s">
        <v>997</v>
      </c>
      <c r="D901" s="805"/>
      <c r="E901" s="189" t="s">
        <v>240</v>
      </c>
      <c r="F901" s="806"/>
      <c r="G901" s="807"/>
      <c r="H901" s="807"/>
      <c r="I901" s="807"/>
      <c r="J901" s="807"/>
      <c r="K901" s="807"/>
      <c r="L901" s="807"/>
      <c r="M901" s="807"/>
      <c r="N901" s="144"/>
    </row>
    <row r="902" spans="1:14" ht="30" hidden="1" customHeight="1">
      <c r="C902" s="804" t="s">
        <v>327</v>
      </c>
      <c r="D902" s="805"/>
      <c r="E902" s="189" t="s">
        <v>240</v>
      </c>
      <c r="F902" s="806"/>
      <c r="G902" s="807"/>
      <c r="H902" s="807"/>
      <c r="I902" s="807"/>
      <c r="J902" s="807"/>
      <c r="K902" s="807"/>
      <c r="L902" s="807"/>
      <c r="M902" s="807"/>
      <c r="N902" s="144"/>
    </row>
    <row r="903" spans="1:14" ht="8.1" hidden="1" customHeight="1">
      <c r="C903" s="132"/>
      <c r="D903" s="132"/>
      <c r="E903" s="132"/>
      <c r="F903" s="132"/>
      <c r="G903" s="132"/>
      <c r="H903" s="132"/>
      <c r="I903" s="132"/>
      <c r="J903" s="132"/>
      <c r="K903" s="132"/>
      <c r="L903" s="132"/>
      <c r="M903" s="132"/>
    </row>
    <row r="904" spans="1:14" hidden="1"/>
    <row r="905" spans="1:14" hidden="1">
      <c r="A905" s="6" t="s">
        <v>693</v>
      </c>
      <c r="C905" s="798" t="s">
        <v>686</v>
      </c>
      <c r="D905" s="799"/>
      <c r="E905" s="800" t="str">
        <f>IF(C54="","",C54)</f>
        <v/>
      </c>
      <c r="F905" s="801"/>
      <c r="G905" s="801"/>
      <c r="H905" s="801"/>
      <c r="I905" s="801"/>
      <c r="J905" s="654" t="s">
        <v>322</v>
      </c>
      <c r="K905" s="655"/>
      <c r="L905" s="802">
        <f>D54</f>
        <v>0</v>
      </c>
      <c r="M905" s="803"/>
      <c r="N905" s="144"/>
    </row>
    <row r="906" spans="1:14" ht="45" hidden="1" customHeight="1">
      <c r="C906" s="654" t="s">
        <v>995</v>
      </c>
      <c r="D906" s="655"/>
      <c r="E906" s="808"/>
      <c r="F906" s="809"/>
      <c r="G906" s="809"/>
      <c r="H906" s="809"/>
      <c r="I906" s="809"/>
      <c r="J906" s="809"/>
      <c r="K906" s="809"/>
      <c r="L906" s="809"/>
      <c r="M906" s="809"/>
      <c r="N906" s="144"/>
    </row>
    <row r="907" spans="1:14" ht="60" hidden="1" customHeight="1">
      <c r="C907" s="810" t="str">
        <f>"The investment is mandated by a SES Regulation (i.e. PCP/CP1/Interoperability)?" &amp; IF($E907="yes"," Ref. to the Regulation and, if funded through Union assistance programmes, ref. to the relevant grant agreement.)","")</f>
        <v>The investment is mandated by a SES Regulation (i.e. PCP/CP1/Interoperability)?</v>
      </c>
      <c r="D907" s="811"/>
      <c r="E907" s="398" t="s">
        <v>240</v>
      </c>
      <c r="F907" s="632"/>
      <c r="G907" s="633"/>
      <c r="H907" s="633"/>
      <c r="I907" s="633"/>
      <c r="J907" s="633"/>
      <c r="K907" s="633"/>
      <c r="L907" s="633"/>
      <c r="M907" s="724"/>
      <c r="N907" s="144"/>
    </row>
    <row r="908" spans="1:14" ht="15" hidden="1" customHeight="1">
      <c r="C908" s="654" t="s">
        <v>1725</v>
      </c>
      <c r="D908" s="825"/>
      <c r="E908" s="417" t="s">
        <v>1550</v>
      </c>
      <c r="F908" s="417" t="s">
        <v>1551</v>
      </c>
      <c r="G908" s="417" t="s">
        <v>1552</v>
      </c>
      <c r="H908" s="417" t="s">
        <v>1553</v>
      </c>
      <c r="I908" s="417" t="s">
        <v>1554</v>
      </c>
      <c r="J908" s="417" t="s">
        <v>1555</v>
      </c>
      <c r="K908" s="417" t="s">
        <v>1556</v>
      </c>
      <c r="L908" s="821"/>
      <c r="M908" s="822"/>
      <c r="N908" s="144"/>
    </row>
    <row r="909" spans="1:14" ht="30" hidden="1" customHeight="1">
      <c r="C909" s="826"/>
      <c r="D909" s="827"/>
      <c r="E909" s="411"/>
      <c r="F909" s="411"/>
      <c r="G909" s="411"/>
      <c r="H909" s="411"/>
      <c r="I909" s="411"/>
      <c r="J909" s="411"/>
      <c r="K909" s="411"/>
      <c r="L909" s="823"/>
      <c r="M909" s="824"/>
      <c r="N909" s="144"/>
    </row>
    <row r="910" spans="1:14" ht="15" hidden="1" customHeight="1">
      <c r="C910" s="804" t="s">
        <v>1490</v>
      </c>
      <c r="D910" s="812"/>
      <c r="E910" s="399" t="s">
        <v>1484</v>
      </c>
      <c r="F910" s="632"/>
      <c r="G910" s="633"/>
      <c r="H910" s="633"/>
      <c r="I910" s="633"/>
      <c r="J910" s="633"/>
      <c r="K910" s="633"/>
      <c r="L910" s="633"/>
      <c r="M910" s="724"/>
      <c r="N910" s="144"/>
    </row>
    <row r="911" spans="1:14" hidden="1">
      <c r="C911" s="813"/>
      <c r="D911" s="814"/>
      <c r="E911" s="320" t="s">
        <v>1492</v>
      </c>
      <c r="F911" s="632"/>
      <c r="G911" s="633"/>
      <c r="H911" s="633"/>
      <c r="I911" s="633"/>
      <c r="J911" s="633"/>
      <c r="K911" s="633"/>
      <c r="L911" s="633"/>
      <c r="M911" s="724"/>
      <c r="N911" s="144"/>
    </row>
    <row r="912" spans="1:14" hidden="1">
      <c r="C912" s="815"/>
      <c r="D912" s="816"/>
      <c r="E912" s="400" t="s">
        <v>1485</v>
      </c>
      <c r="F912" s="632"/>
      <c r="G912" s="633"/>
      <c r="H912" s="633"/>
      <c r="I912" s="633"/>
      <c r="J912" s="633"/>
      <c r="K912" s="633"/>
      <c r="L912" s="633"/>
      <c r="M912" s="724"/>
      <c r="N912" s="144"/>
    </row>
    <row r="913" spans="1:14" hidden="1">
      <c r="C913" s="804" t="s">
        <v>1491</v>
      </c>
      <c r="D913" s="817"/>
      <c r="E913" s="360" t="s">
        <v>1486</v>
      </c>
      <c r="F913" s="632"/>
      <c r="G913" s="633"/>
      <c r="H913" s="633"/>
      <c r="I913" s="633"/>
      <c r="J913" s="633"/>
      <c r="K913" s="633"/>
      <c r="L913" s="633"/>
      <c r="M913" s="724"/>
      <c r="N913" s="144"/>
    </row>
    <row r="914" spans="1:14" hidden="1">
      <c r="C914" s="813"/>
      <c r="D914" s="818"/>
      <c r="E914" s="360" t="s">
        <v>1487</v>
      </c>
      <c r="F914" s="632"/>
      <c r="G914" s="633"/>
      <c r="H914" s="633"/>
      <c r="I914" s="633"/>
      <c r="J914" s="633"/>
      <c r="K914" s="633"/>
      <c r="L914" s="633"/>
      <c r="M914" s="724"/>
      <c r="N914" s="144"/>
    </row>
    <row r="915" spans="1:14" hidden="1">
      <c r="C915" s="813"/>
      <c r="D915" s="818"/>
      <c r="E915" s="360" t="s">
        <v>1488</v>
      </c>
      <c r="F915" s="632"/>
      <c r="G915" s="633"/>
      <c r="H915" s="633"/>
      <c r="I915" s="633"/>
      <c r="J915" s="633"/>
      <c r="K915" s="633"/>
      <c r="L915" s="633"/>
      <c r="M915" s="724"/>
      <c r="N915" s="144"/>
    </row>
    <row r="916" spans="1:14" hidden="1">
      <c r="C916" s="815"/>
      <c r="D916" s="819"/>
      <c r="E916" s="360" t="s">
        <v>1489</v>
      </c>
      <c r="F916" s="632"/>
      <c r="G916" s="633"/>
      <c r="H916" s="633"/>
      <c r="I916" s="633"/>
      <c r="J916" s="633"/>
      <c r="K916" s="633"/>
      <c r="L916" s="633"/>
      <c r="M916" s="724"/>
      <c r="N916" s="144"/>
    </row>
    <row r="917" spans="1:14" ht="45" hidden="1" customHeight="1">
      <c r="C917" s="654" t="str">
        <f>IF($E907="No","Results of the consultation of airspace users' representatives", "Benefits for airspace users and results of the consultation of airspace users' representatives")</f>
        <v>Benefits for airspace users and results of the consultation of airspace users' representatives</v>
      </c>
      <c r="D917" s="655"/>
      <c r="E917" s="820"/>
      <c r="F917" s="809"/>
      <c r="G917" s="809"/>
      <c r="H917" s="809"/>
      <c r="I917" s="809"/>
      <c r="J917" s="809"/>
      <c r="K917" s="809"/>
      <c r="L917" s="809"/>
      <c r="M917" s="809"/>
      <c r="N917" s="144"/>
    </row>
    <row r="918" spans="1:14" hidden="1">
      <c r="C918" s="654" t="s">
        <v>996</v>
      </c>
      <c r="D918" s="655"/>
      <c r="E918" s="189" t="s">
        <v>240</v>
      </c>
      <c r="F918" s="806"/>
      <c r="G918" s="807"/>
      <c r="H918" s="807"/>
      <c r="I918" s="807"/>
      <c r="J918" s="807"/>
      <c r="K918" s="807"/>
      <c r="L918" s="807"/>
      <c r="M918" s="807"/>
      <c r="N918" s="144"/>
    </row>
    <row r="919" spans="1:14" hidden="1">
      <c r="C919" s="654" t="s">
        <v>326</v>
      </c>
      <c r="D919" s="655"/>
      <c r="E919" s="189" t="s">
        <v>240</v>
      </c>
      <c r="F919" s="806"/>
      <c r="G919" s="807"/>
      <c r="H919" s="807"/>
      <c r="I919" s="807"/>
      <c r="J919" s="807"/>
      <c r="K919" s="807"/>
      <c r="L919" s="807"/>
      <c r="M919" s="807"/>
      <c r="N919" s="144"/>
    </row>
    <row r="920" spans="1:14" ht="15" hidden="1" customHeight="1">
      <c r="C920" s="804" t="s">
        <v>997</v>
      </c>
      <c r="D920" s="805"/>
      <c r="E920" s="189" t="s">
        <v>240</v>
      </c>
      <c r="F920" s="806"/>
      <c r="G920" s="807"/>
      <c r="H920" s="807"/>
      <c r="I920" s="807"/>
      <c r="J920" s="807"/>
      <c r="K920" s="807"/>
      <c r="L920" s="807"/>
      <c r="M920" s="807"/>
      <c r="N920" s="144"/>
    </row>
    <row r="921" spans="1:14" ht="30" hidden="1" customHeight="1">
      <c r="C921" s="804" t="s">
        <v>327</v>
      </c>
      <c r="D921" s="805"/>
      <c r="E921" s="189" t="s">
        <v>240</v>
      </c>
      <c r="F921" s="806"/>
      <c r="G921" s="807"/>
      <c r="H921" s="807"/>
      <c r="I921" s="807"/>
      <c r="J921" s="807"/>
      <c r="K921" s="807"/>
      <c r="L921" s="807"/>
      <c r="M921" s="807"/>
      <c r="N921" s="144"/>
    </row>
    <row r="922" spans="1:14" ht="8.1" hidden="1" customHeight="1">
      <c r="C922" s="132"/>
      <c r="D922" s="132"/>
      <c r="E922" s="132"/>
      <c r="F922" s="132"/>
      <c r="G922" s="132"/>
      <c r="H922" s="132"/>
      <c r="I922" s="132"/>
      <c r="J922" s="132"/>
      <c r="K922" s="132"/>
      <c r="L922" s="132"/>
      <c r="M922" s="132"/>
    </row>
    <row r="923" spans="1:14" hidden="1"/>
    <row r="924" spans="1:14" hidden="1">
      <c r="A924" s="6" t="s">
        <v>693</v>
      </c>
      <c r="C924" s="798" t="s">
        <v>687</v>
      </c>
      <c r="D924" s="799"/>
      <c r="E924" s="800" t="str">
        <f>IF(C55="","",C55)</f>
        <v/>
      </c>
      <c r="F924" s="801"/>
      <c r="G924" s="801"/>
      <c r="H924" s="801"/>
      <c r="I924" s="801"/>
      <c r="J924" s="654" t="s">
        <v>322</v>
      </c>
      <c r="K924" s="655"/>
      <c r="L924" s="802">
        <f>D55</f>
        <v>0</v>
      </c>
      <c r="M924" s="803"/>
      <c r="N924" s="144"/>
    </row>
    <row r="925" spans="1:14" ht="45" hidden="1" customHeight="1">
      <c r="C925" s="654" t="s">
        <v>995</v>
      </c>
      <c r="D925" s="655"/>
      <c r="E925" s="808"/>
      <c r="F925" s="809"/>
      <c r="G925" s="809"/>
      <c r="H925" s="809"/>
      <c r="I925" s="809"/>
      <c r="J925" s="809"/>
      <c r="K925" s="809"/>
      <c r="L925" s="809"/>
      <c r="M925" s="809"/>
      <c r="N925" s="144"/>
    </row>
    <row r="926" spans="1:14" ht="60" hidden="1" customHeight="1">
      <c r="C926" s="810" t="str">
        <f>"The investment is mandated by a SES Regulation (i.e. PCP/CP1/Interoperability)?" &amp; IF($E926="yes"," Ref. to the Regulation and, if funded through Union assistance programmes, ref. to the relevant grant agreement.)","")</f>
        <v>The investment is mandated by a SES Regulation (i.e. PCP/CP1/Interoperability)?</v>
      </c>
      <c r="D926" s="811"/>
      <c r="E926" s="398" t="s">
        <v>240</v>
      </c>
      <c r="F926" s="632"/>
      <c r="G926" s="633"/>
      <c r="H926" s="633"/>
      <c r="I926" s="633"/>
      <c r="J926" s="633"/>
      <c r="K926" s="633"/>
      <c r="L926" s="633"/>
      <c r="M926" s="724"/>
      <c r="N926" s="144"/>
    </row>
    <row r="927" spans="1:14" ht="15" hidden="1" customHeight="1">
      <c r="C927" s="654" t="s">
        <v>1725</v>
      </c>
      <c r="D927" s="825"/>
      <c r="E927" s="417" t="s">
        <v>1550</v>
      </c>
      <c r="F927" s="417" t="s">
        <v>1551</v>
      </c>
      <c r="G927" s="417" t="s">
        <v>1552</v>
      </c>
      <c r="H927" s="417" t="s">
        <v>1553</v>
      </c>
      <c r="I927" s="417" t="s">
        <v>1554</v>
      </c>
      <c r="J927" s="417" t="s">
        <v>1555</v>
      </c>
      <c r="K927" s="417" t="s">
        <v>1556</v>
      </c>
      <c r="L927" s="821"/>
      <c r="M927" s="822"/>
      <c r="N927" s="144"/>
    </row>
    <row r="928" spans="1:14" ht="30" hidden="1" customHeight="1">
      <c r="C928" s="826"/>
      <c r="D928" s="827"/>
      <c r="E928" s="411"/>
      <c r="F928" s="411"/>
      <c r="G928" s="411"/>
      <c r="H928" s="411"/>
      <c r="I928" s="411"/>
      <c r="J928" s="411"/>
      <c r="K928" s="411"/>
      <c r="L928" s="823"/>
      <c r="M928" s="824"/>
      <c r="N928" s="144"/>
    </row>
    <row r="929" spans="1:14" ht="15" hidden="1" customHeight="1">
      <c r="C929" s="804" t="s">
        <v>1490</v>
      </c>
      <c r="D929" s="812"/>
      <c r="E929" s="399" t="s">
        <v>1484</v>
      </c>
      <c r="F929" s="632"/>
      <c r="G929" s="633"/>
      <c r="H929" s="633"/>
      <c r="I929" s="633"/>
      <c r="J929" s="633"/>
      <c r="K929" s="633"/>
      <c r="L929" s="633"/>
      <c r="M929" s="724"/>
      <c r="N929" s="144"/>
    </row>
    <row r="930" spans="1:14" hidden="1">
      <c r="C930" s="813"/>
      <c r="D930" s="814"/>
      <c r="E930" s="320" t="s">
        <v>1492</v>
      </c>
      <c r="F930" s="632"/>
      <c r="G930" s="633"/>
      <c r="H930" s="633"/>
      <c r="I930" s="633"/>
      <c r="J930" s="633"/>
      <c r="K930" s="633"/>
      <c r="L930" s="633"/>
      <c r="M930" s="724"/>
      <c r="N930" s="144"/>
    </row>
    <row r="931" spans="1:14" hidden="1">
      <c r="C931" s="815"/>
      <c r="D931" s="816"/>
      <c r="E931" s="400" t="s">
        <v>1485</v>
      </c>
      <c r="F931" s="632"/>
      <c r="G931" s="633"/>
      <c r="H931" s="633"/>
      <c r="I931" s="633"/>
      <c r="J931" s="633"/>
      <c r="K931" s="633"/>
      <c r="L931" s="633"/>
      <c r="M931" s="724"/>
      <c r="N931" s="144"/>
    </row>
    <row r="932" spans="1:14" hidden="1">
      <c r="C932" s="804" t="s">
        <v>1491</v>
      </c>
      <c r="D932" s="817"/>
      <c r="E932" s="360" t="s">
        <v>1486</v>
      </c>
      <c r="F932" s="632"/>
      <c r="G932" s="633"/>
      <c r="H932" s="633"/>
      <c r="I932" s="633"/>
      <c r="J932" s="633"/>
      <c r="K932" s="633"/>
      <c r="L932" s="633"/>
      <c r="M932" s="724"/>
      <c r="N932" s="144"/>
    </row>
    <row r="933" spans="1:14" hidden="1">
      <c r="C933" s="813"/>
      <c r="D933" s="818"/>
      <c r="E933" s="360" t="s">
        <v>1487</v>
      </c>
      <c r="F933" s="632"/>
      <c r="G933" s="633"/>
      <c r="H933" s="633"/>
      <c r="I933" s="633"/>
      <c r="J933" s="633"/>
      <c r="K933" s="633"/>
      <c r="L933" s="633"/>
      <c r="M933" s="724"/>
      <c r="N933" s="144"/>
    </row>
    <row r="934" spans="1:14" hidden="1">
      <c r="C934" s="813"/>
      <c r="D934" s="818"/>
      <c r="E934" s="360" t="s">
        <v>1488</v>
      </c>
      <c r="F934" s="632"/>
      <c r="G934" s="633"/>
      <c r="H934" s="633"/>
      <c r="I934" s="633"/>
      <c r="J934" s="633"/>
      <c r="K934" s="633"/>
      <c r="L934" s="633"/>
      <c r="M934" s="724"/>
      <c r="N934" s="144"/>
    </row>
    <row r="935" spans="1:14" hidden="1">
      <c r="C935" s="815"/>
      <c r="D935" s="819"/>
      <c r="E935" s="360" t="s">
        <v>1489</v>
      </c>
      <c r="F935" s="632"/>
      <c r="G935" s="633"/>
      <c r="H935" s="633"/>
      <c r="I935" s="633"/>
      <c r="J935" s="633"/>
      <c r="K935" s="633"/>
      <c r="L935" s="633"/>
      <c r="M935" s="724"/>
      <c r="N935" s="144"/>
    </row>
    <row r="936" spans="1:14" ht="45" hidden="1" customHeight="1">
      <c r="C936" s="654" t="str">
        <f>IF($E926="No","Results of the consultation of airspace users' representatives", "Benefits for airspace users and results of the consultation of airspace users' representatives")</f>
        <v>Benefits for airspace users and results of the consultation of airspace users' representatives</v>
      </c>
      <c r="D936" s="655"/>
      <c r="E936" s="820"/>
      <c r="F936" s="809"/>
      <c r="G936" s="809"/>
      <c r="H936" s="809"/>
      <c r="I936" s="809"/>
      <c r="J936" s="809"/>
      <c r="K936" s="809"/>
      <c r="L936" s="809"/>
      <c r="M936" s="809"/>
      <c r="N936" s="144"/>
    </row>
    <row r="937" spans="1:14" hidden="1">
      <c r="C937" s="654" t="s">
        <v>996</v>
      </c>
      <c r="D937" s="655"/>
      <c r="E937" s="189" t="s">
        <v>240</v>
      </c>
      <c r="F937" s="806"/>
      <c r="G937" s="807"/>
      <c r="H937" s="807"/>
      <c r="I937" s="807"/>
      <c r="J937" s="807"/>
      <c r="K937" s="807"/>
      <c r="L937" s="807"/>
      <c r="M937" s="807"/>
      <c r="N937" s="144"/>
    </row>
    <row r="938" spans="1:14" hidden="1">
      <c r="C938" s="654" t="s">
        <v>326</v>
      </c>
      <c r="D938" s="655"/>
      <c r="E938" s="189" t="s">
        <v>240</v>
      </c>
      <c r="F938" s="806"/>
      <c r="G938" s="807"/>
      <c r="H938" s="807"/>
      <c r="I938" s="807"/>
      <c r="J938" s="807"/>
      <c r="K938" s="807"/>
      <c r="L938" s="807"/>
      <c r="M938" s="807"/>
      <c r="N938" s="144"/>
    </row>
    <row r="939" spans="1:14" ht="15" hidden="1" customHeight="1">
      <c r="C939" s="804" t="s">
        <v>997</v>
      </c>
      <c r="D939" s="805"/>
      <c r="E939" s="189" t="s">
        <v>240</v>
      </c>
      <c r="F939" s="806"/>
      <c r="G939" s="807"/>
      <c r="H939" s="807"/>
      <c r="I939" s="807"/>
      <c r="J939" s="807"/>
      <c r="K939" s="807"/>
      <c r="L939" s="807"/>
      <c r="M939" s="807"/>
      <c r="N939" s="144"/>
    </row>
    <row r="940" spans="1:14" ht="30" hidden="1" customHeight="1">
      <c r="C940" s="804" t="s">
        <v>327</v>
      </c>
      <c r="D940" s="805"/>
      <c r="E940" s="189" t="s">
        <v>240</v>
      </c>
      <c r="F940" s="806"/>
      <c r="G940" s="807"/>
      <c r="H940" s="807"/>
      <c r="I940" s="807"/>
      <c r="J940" s="807"/>
      <c r="K940" s="807"/>
      <c r="L940" s="807"/>
      <c r="M940" s="807"/>
      <c r="N940" s="144"/>
    </row>
    <row r="941" spans="1:14" ht="8.1" hidden="1" customHeight="1">
      <c r="C941" s="132"/>
      <c r="D941" s="132"/>
      <c r="E941" s="132"/>
      <c r="F941" s="132"/>
      <c r="G941" s="132"/>
      <c r="H941" s="132"/>
      <c r="I941" s="132"/>
      <c r="J941" s="132"/>
      <c r="K941" s="132"/>
      <c r="L941" s="132"/>
      <c r="M941" s="132"/>
    </row>
    <row r="942" spans="1:14" hidden="1"/>
    <row r="943" spans="1:14" hidden="1">
      <c r="A943" s="6" t="s">
        <v>693</v>
      </c>
      <c r="C943" s="798" t="s">
        <v>688</v>
      </c>
      <c r="D943" s="799"/>
      <c r="E943" s="800" t="str">
        <f>IF(C56="","",C56)</f>
        <v/>
      </c>
      <c r="F943" s="801"/>
      <c r="G943" s="801"/>
      <c r="H943" s="801"/>
      <c r="I943" s="801"/>
      <c r="J943" s="654" t="s">
        <v>322</v>
      </c>
      <c r="K943" s="655"/>
      <c r="L943" s="802">
        <f>D56</f>
        <v>0</v>
      </c>
      <c r="M943" s="803"/>
      <c r="N943" s="144"/>
    </row>
    <row r="944" spans="1:14" ht="45" hidden="1" customHeight="1">
      <c r="C944" s="654" t="s">
        <v>995</v>
      </c>
      <c r="D944" s="655"/>
      <c r="E944" s="808"/>
      <c r="F944" s="809"/>
      <c r="G944" s="809"/>
      <c r="H944" s="809"/>
      <c r="I944" s="809"/>
      <c r="J944" s="809"/>
      <c r="K944" s="809"/>
      <c r="L944" s="809"/>
      <c r="M944" s="809"/>
      <c r="N944" s="144"/>
    </row>
    <row r="945" spans="3:14" ht="60" hidden="1" customHeight="1">
      <c r="C945" s="810" t="str">
        <f>"The investment is mandated by a SES Regulation (i.e. PCP/CP1/Interoperability)?" &amp; IF($E945="yes"," Ref. to the Regulation and, if funded through Union assistance programmes, ref. to the relevant grant agreement.)","")</f>
        <v>The investment is mandated by a SES Regulation (i.e. PCP/CP1/Interoperability)?</v>
      </c>
      <c r="D945" s="811"/>
      <c r="E945" s="398" t="s">
        <v>240</v>
      </c>
      <c r="F945" s="632"/>
      <c r="G945" s="633"/>
      <c r="H945" s="633"/>
      <c r="I945" s="633"/>
      <c r="J945" s="633"/>
      <c r="K945" s="633"/>
      <c r="L945" s="633"/>
      <c r="M945" s="724"/>
      <c r="N945" s="144"/>
    </row>
    <row r="946" spans="3:14" ht="15" hidden="1" customHeight="1">
      <c r="C946" s="654" t="s">
        <v>1725</v>
      </c>
      <c r="D946" s="825"/>
      <c r="E946" s="417" t="s">
        <v>1550</v>
      </c>
      <c r="F946" s="417" t="s">
        <v>1551</v>
      </c>
      <c r="G946" s="417" t="s">
        <v>1552</v>
      </c>
      <c r="H946" s="417" t="s">
        <v>1553</v>
      </c>
      <c r="I946" s="417" t="s">
        <v>1554</v>
      </c>
      <c r="J946" s="417" t="s">
        <v>1555</v>
      </c>
      <c r="K946" s="417" t="s">
        <v>1556</v>
      </c>
      <c r="L946" s="821"/>
      <c r="M946" s="822"/>
      <c r="N946" s="144"/>
    </row>
    <row r="947" spans="3:14" ht="30" hidden="1" customHeight="1">
      <c r="C947" s="826"/>
      <c r="D947" s="827"/>
      <c r="E947" s="411"/>
      <c r="F947" s="411"/>
      <c r="G947" s="411"/>
      <c r="H947" s="411"/>
      <c r="I947" s="411"/>
      <c r="J947" s="411"/>
      <c r="K947" s="411"/>
      <c r="L947" s="823"/>
      <c r="M947" s="824"/>
      <c r="N947" s="144"/>
    </row>
    <row r="948" spans="3:14" ht="15" hidden="1" customHeight="1">
      <c r="C948" s="804" t="s">
        <v>1490</v>
      </c>
      <c r="D948" s="812"/>
      <c r="E948" s="399" t="s">
        <v>1484</v>
      </c>
      <c r="F948" s="632"/>
      <c r="G948" s="633"/>
      <c r="H948" s="633"/>
      <c r="I948" s="633"/>
      <c r="J948" s="633"/>
      <c r="K948" s="633"/>
      <c r="L948" s="633"/>
      <c r="M948" s="724"/>
      <c r="N948" s="144"/>
    </row>
    <row r="949" spans="3:14" hidden="1">
      <c r="C949" s="813"/>
      <c r="D949" s="814"/>
      <c r="E949" s="320" t="s">
        <v>1492</v>
      </c>
      <c r="F949" s="632"/>
      <c r="G949" s="633"/>
      <c r="H949" s="633"/>
      <c r="I949" s="633"/>
      <c r="J949" s="633"/>
      <c r="K949" s="633"/>
      <c r="L949" s="633"/>
      <c r="M949" s="724"/>
      <c r="N949" s="144"/>
    </row>
    <row r="950" spans="3:14" hidden="1">
      <c r="C950" s="815"/>
      <c r="D950" s="816"/>
      <c r="E950" s="400" t="s">
        <v>1485</v>
      </c>
      <c r="F950" s="632"/>
      <c r="G950" s="633"/>
      <c r="H950" s="633"/>
      <c r="I950" s="633"/>
      <c r="J950" s="633"/>
      <c r="K950" s="633"/>
      <c r="L950" s="633"/>
      <c r="M950" s="724"/>
      <c r="N950" s="144"/>
    </row>
    <row r="951" spans="3:14" hidden="1">
      <c r="C951" s="804" t="s">
        <v>1491</v>
      </c>
      <c r="D951" s="817"/>
      <c r="E951" s="360" t="s">
        <v>1486</v>
      </c>
      <c r="F951" s="632"/>
      <c r="G951" s="633"/>
      <c r="H951" s="633"/>
      <c r="I951" s="633"/>
      <c r="J951" s="633"/>
      <c r="K951" s="633"/>
      <c r="L951" s="633"/>
      <c r="M951" s="724"/>
      <c r="N951" s="144"/>
    </row>
    <row r="952" spans="3:14" hidden="1">
      <c r="C952" s="813"/>
      <c r="D952" s="818"/>
      <c r="E952" s="360" t="s">
        <v>1487</v>
      </c>
      <c r="F952" s="632"/>
      <c r="G952" s="633"/>
      <c r="H952" s="633"/>
      <c r="I952" s="633"/>
      <c r="J952" s="633"/>
      <c r="K952" s="633"/>
      <c r="L952" s="633"/>
      <c r="M952" s="724"/>
      <c r="N952" s="144"/>
    </row>
    <row r="953" spans="3:14" hidden="1">
      <c r="C953" s="813"/>
      <c r="D953" s="818"/>
      <c r="E953" s="360" t="s">
        <v>1488</v>
      </c>
      <c r="F953" s="632"/>
      <c r="G953" s="633"/>
      <c r="H953" s="633"/>
      <c r="I953" s="633"/>
      <c r="J953" s="633"/>
      <c r="K953" s="633"/>
      <c r="L953" s="633"/>
      <c r="M953" s="724"/>
      <c r="N953" s="144"/>
    </row>
    <row r="954" spans="3:14" hidden="1">
      <c r="C954" s="815"/>
      <c r="D954" s="819"/>
      <c r="E954" s="360" t="s">
        <v>1489</v>
      </c>
      <c r="F954" s="632"/>
      <c r="G954" s="633"/>
      <c r="H954" s="633"/>
      <c r="I954" s="633"/>
      <c r="J954" s="633"/>
      <c r="K954" s="633"/>
      <c r="L954" s="633"/>
      <c r="M954" s="724"/>
      <c r="N954" s="144"/>
    </row>
    <row r="955" spans="3:14" ht="45" hidden="1" customHeight="1">
      <c r="C955" s="654" t="str">
        <f>IF($E945="No","Results of the consultation of airspace users' representatives", "Benefits for airspace users and results of the consultation of airspace users' representatives")</f>
        <v>Benefits for airspace users and results of the consultation of airspace users' representatives</v>
      </c>
      <c r="D955" s="655"/>
      <c r="E955" s="820"/>
      <c r="F955" s="809"/>
      <c r="G955" s="809"/>
      <c r="H955" s="809"/>
      <c r="I955" s="809"/>
      <c r="J955" s="809"/>
      <c r="K955" s="809"/>
      <c r="L955" s="809"/>
      <c r="M955" s="809"/>
      <c r="N955" s="144"/>
    </row>
    <row r="956" spans="3:14" hidden="1">
      <c r="C956" s="654" t="s">
        <v>996</v>
      </c>
      <c r="D956" s="655"/>
      <c r="E956" s="189" t="s">
        <v>240</v>
      </c>
      <c r="F956" s="806"/>
      <c r="G956" s="807"/>
      <c r="H956" s="807"/>
      <c r="I956" s="807"/>
      <c r="J956" s="807"/>
      <c r="K956" s="807"/>
      <c r="L956" s="807"/>
      <c r="M956" s="807"/>
      <c r="N956" s="144"/>
    </row>
    <row r="957" spans="3:14" hidden="1">
      <c r="C957" s="654" t="s">
        <v>326</v>
      </c>
      <c r="D957" s="655"/>
      <c r="E957" s="189" t="s">
        <v>240</v>
      </c>
      <c r="F957" s="806"/>
      <c r="G957" s="807"/>
      <c r="H957" s="807"/>
      <c r="I957" s="807"/>
      <c r="J957" s="807"/>
      <c r="K957" s="807"/>
      <c r="L957" s="807"/>
      <c r="M957" s="807"/>
      <c r="N957" s="144"/>
    </row>
    <row r="958" spans="3:14" ht="15" hidden="1" customHeight="1">
      <c r="C958" s="804" t="s">
        <v>997</v>
      </c>
      <c r="D958" s="805"/>
      <c r="E958" s="189" t="s">
        <v>240</v>
      </c>
      <c r="F958" s="806"/>
      <c r="G958" s="807"/>
      <c r="H958" s="807"/>
      <c r="I958" s="807"/>
      <c r="J958" s="807"/>
      <c r="K958" s="807"/>
      <c r="L958" s="807"/>
      <c r="M958" s="807"/>
      <c r="N958" s="144"/>
    </row>
    <row r="959" spans="3:14" ht="30" hidden="1" customHeight="1">
      <c r="C959" s="804" t="s">
        <v>327</v>
      </c>
      <c r="D959" s="805"/>
      <c r="E959" s="189" t="s">
        <v>240</v>
      </c>
      <c r="F959" s="806"/>
      <c r="G959" s="807"/>
      <c r="H959" s="807"/>
      <c r="I959" s="807"/>
      <c r="J959" s="807"/>
      <c r="K959" s="807"/>
      <c r="L959" s="807"/>
      <c r="M959" s="807"/>
      <c r="N959" s="144"/>
    </row>
    <row r="960" spans="3:14" ht="8.1" hidden="1" customHeight="1">
      <c r="C960" s="132"/>
      <c r="D960" s="132"/>
      <c r="E960" s="132"/>
      <c r="F960" s="132"/>
      <c r="G960" s="132"/>
      <c r="H960" s="132"/>
      <c r="I960" s="132"/>
      <c r="J960" s="132"/>
      <c r="K960" s="132"/>
      <c r="L960" s="132"/>
      <c r="M960" s="132"/>
    </row>
    <row r="961" spans="1:14" hidden="1"/>
    <row r="962" spans="1:14" hidden="1">
      <c r="A962" s="6" t="s">
        <v>693</v>
      </c>
      <c r="C962" s="798" t="s">
        <v>689</v>
      </c>
      <c r="D962" s="799"/>
      <c r="E962" s="800" t="str">
        <f>IF(C57="","",C57)</f>
        <v/>
      </c>
      <c r="F962" s="801"/>
      <c r="G962" s="801"/>
      <c r="H962" s="801"/>
      <c r="I962" s="801"/>
      <c r="J962" s="654" t="s">
        <v>322</v>
      </c>
      <c r="K962" s="655"/>
      <c r="L962" s="802">
        <f>D57</f>
        <v>0</v>
      </c>
      <c r="M962" s="803"/>
      <c r="N962" s="144"/>
    </row>
    <row r="963" spans="1:14" ht="45" hidden="1" customHeight="1">
      <c r="C963" s="654" t="s">
        <v>995</v>
      </c>
      <c r="D963" s="655"/>
      <c r="E963" s="808"/>
      <c r="F963" s="809"/>
      <c r="G963" s="809"/>
      <c r="H963" s="809"/>
      <c r="I963" s="809"/>
      <c r="J963" s="809"/>
      <c r="K963" s="809"/>
      <c r="L963" s="809"/>
      <c r="M963" s="809"/>
      <c r="N963" s="144"/>
    </row>
    <row r="964" spans="1:14" ht="60" hidden="1" customHeight="1">
      <c r="C964" s="810" t="str">
        <f>"The investment is mandated by a SES Regulation (i.e. PCP/CP1/Interoperability)?" &amp; IF($E964="yes"," Ref. to the Regulation and, if funded through Union assistance programmes, ref. to the relevant grant agreement.)","")</f>
        <v>The investment is mandated by a SES Regulation (i.e. PCP/CP1/Interoperability)?</v>
      </c>
      <c r="D964" s="811"/>
      <c r="E964" s="398" t="s">
        <v>240</v>
      </c>
      <c r="F964" s="632"/>
      <c r="G964" s="633"/>
      <c r="H964" s="633"/>
      <c r="I964" s="633"/>
      <c r="J964" s="633"/>
      <c r="K964" s="633"/>
      <c r="L964" s="633"/>
      <c r="M964" s="724"/>
      <c r="N964" s="144"/>
    </row>
    <row r="965" spans="1:14" ht="15" hidden="1" customHeight="1">
      <c r="C965" s="654" t="s">
        <v>1725</v>
      </c>
      <c r="D965" s="825"/>
      <c r="E965" s="417" t="s">
        <v>1550</v>
      </c>
      <c r="F965" s="417" t="s">
        <v>1551</v>
      </c>
      <c r="G965" s="417" t="s">
        <v>1552</v>
      </c>
      <c r="H965" s="417" t="s">
        <v>1553</v>
      </c>
      <c r="I965" s="417" t="s">
        <v>1554</v>
      </c>
      <c r="J965" s="417" t="s">
        <v>1555</v>
      </c>
      <c r="K965" s="417" t="s">
        <v>1556</v>
      </c>
      <c r="L965" s="821"/>
      <c r="M965" s="822"/>
      <c r="N965" s="144"/>
    </row>
    <row r="966" spans="1:14" ht="30" hidden="1" customHeight="1">
      <c r="C966" s="826"/>
      <c r="D966" s="827"/>
      <c r="E966" s="411"/>
      <c r="F966" s="411"/>
      <c r="G966" s="411"/>
      <c r="H966" s="411"/>
      <c r="I966" s="411"/>
      <c r="J966" s="411"/>
      <c r="K966" s="411"/>
      <c r="L966" s="823"/>
      <c r="M966" s="824"/>
      <c r="N966" s="144"/>
    </row>
    <row r="967" spans="1:14" ht="15" hidden="1" customHeight="1">
      <c r="C967" s="804" t="s">
        <v>1490</v>
      </c>
      <c r="D967" s="812"/>
      <c r="E967" s="399" t="s">
        <v>1484</v>
      </c>
      <c r="F967" s="632"/>
      <c r="G967" s="633"/>
      <c r="H967" s="633"/>
      <c r="I967" s="633"/>
      <c r="J967" s="633"/>
      <c r="K967" s="633"/>
      <c r="L967" s="633"/>
      <c r="M967" s="724"/>
      <c r="N967" s="144"/>
    </row>
    <row r="968" spans="1:14" hidden="1">
      <c r="C968" s="813"/>
      <c r="D968" s="814"/>
      <c r="E968" s="320" t="s">
        <v>1492</v>
      </c>
      <c r="F968" s="632"/>
      <c r="G968" s="633"/>
      <c r="H968" s="633"/>
      <c r="I968" s="633"/>
      <c r="J968" s="633"/>
      <c r="K968" s="633"/>
      <c r="L968" s="633"/>
      <c r="M968" s="724"/>
      <c r="N968" s="144"/>
    </row>
    <row r="969" spans="1:14" hidden="1">
      <c r="C969" s="815"/>
      <c r="D969" s="816"/>
      <c r="E969" s="400" t="s">
        <v>1485</v>
      </c>
      <c r="F969" s="632"/>
      <c r="G969" s="633"/>
      <c r="H969" s="633"/>
      <c r="I969" s="633"/>
      <c r="J969" s="633"/>
      <c r="K969" s="633"/>
      <c r="L969" s="633"/>
      <c r="M969" s="724"/>
      <c r="N969" s="144"/>
    </row>
    <row r="970" spans="1:14" hidden="1">
      <c r="C970" s="804" t="s">
        <v>1491</v>
      </c>
      <c r="D970" s="817"/>
      <c r="E970" s="360" t="s">
        <v>1486</v>
      </c>
      <c r="F970" s="632"/>
      <c r="G970" s="633"/>
      <c r="H970" s="633"/>
      <c r="I970" s="633"/>
      <c r="J970" s="633"/>
      <c r="K970" s="633"/>
      <c r="L970" s="633"/>
      <c r="M970" s="724"/>
      <c r="N970" s="144"/>
    </row>
    <row r="971" spans="1:14" hidden="1">
      <c r="C971" s="813"/>
      <c r="D971" s="818"/>
      <c r="E971" s="360" t="s">
        <v>1487</v>
      </c>
      <c r="F971" s="632"/>
      <c r="G971" s="633"/>
      <c r="H971" s="633"/>
      <c r="I971" s="633"/>
      <c r="J971" s="633"/>
      <c r="K971" s="633"/>
      <c r="L971" s="633"/>
      <c r="M971" s="724"/>
      <c r="N971" s="144"/>
    </row>
    <row r="972" spans="1:14" hidden="1">
      <c r="C972" s="813"/>
      <c r="D972" s="818"/>
      <c r="E972" s="360" t="s">
        <v>1488</v>
      </c>
      <c r="F972" s="632"/>
      <c r="G972" s="633"/>
      <c r="H972" s="633"/>
      <c r="I972" s="633"/>
      <c r="J972" s="633"/>
      <c r="K972" s="633"/>
      <c r="L972" s="633"/>
      <c r="M972" s="724"/>
      <c r="N972" s="144"/>
    </row>
    <row r="973" spans="1:14" hidden="1">
      <c r="C973" s="815"/>
      <c r="D973" s="819"/>
      <c r="E973" s="360" t="s">
        <v>1489</v>
      </c>
      <c r="F973" s="632"/>
      <c r="G973" s="633"/>
      <c r="H973" s="633"/>
      <c r="I973" s="633"/>
      <c r="J973" s="633"/>
      <c r="K973" s="633"/>
      <c r="L973" s="633"/>
      <c r="M973" s="724"/>
      <c r="N973" s="144"/>
    </row>
    <row r="974" spans="1:14" ht="45" hidden="1" customHeight="1">
      <c r="C974" s="654" t="str">
        <f>IF($E964="No","Results of the consultation of airspace users' representatives", "Benefits for airspace users and results of the consultation of airspace users' representatives")</f>
        <v>Benefits for airspace users and results of the consultation of airspace users' representatives</v>
      </c>
      <c r="D974" s="655"/>
      <c r="E974" s="820"/>
      <c r="F974" s="809"/>
      <c r="G974" s="809"/>
      <c r="H974" s="809"/>
      <c r="I974" s="809"/>
      <c r="J974" s="809"/>
      <c r="K974" s="809"/>
      <c r="L974" s="809"/>
      <c r="M974" s="809"/>
      <c r="N974" s="144"/>
    </row>
    <row r="975" spans="1:14" hidden="1">
      <c r="C975" s="654" t="s">
        <v>996</v>
      </c>
      <c r="D975" s="655"/>
      <c r="E975" s="189" t="s">
        <v>240</v>
      </c>
      <c r="F975" s="806"/>
      <c r="G975" s="807"/>
      <c r="H975" s="807"/>
      <c r="I975" s="807"/>
      <c r="J975" s="807"/>
      <c r="K975" s="807"/>
      <c r="L975" s="807"/>
      <c r="M975" s="807"/>
      <c r="N975" s="144"/>
    </row>
    <row r="976" spans="1:14" hidden="1">
      <c r="C976" s="654" t="s">
        <v>326</v>
      </c>
      <c r="D976" s="655"/>
      <c r="E976" s="189" t="s">
        <v>240</v>
      </c>
      <c r="F976" s="806"/>
      <c r="G976" s="807"/>
      <c r="H976" s="807"/>
      <c r="I976" s="807"/>
      <c r="J976" s="807"/>
      <c r="K976" s="807"/>
      <c r="L976" s="807"/>
      <c r="M976" s="807"/>
      <c r="N976" s="144"/>
    </row>
    <row r="977" spans="1:14" ht="15" hidden="1" customHeight="1">
      <c r="C977" s="804" t="s">
        <v>997</v>
      </c>
      <c r="D977" s="805"/>
      <c r="E977" s="189" t="s">
        <v>240</v>
      </c>
      <c r="F977" s="806"/>
      <c r="G977" s="807"/>
      <c r="H977" s="807"/>
      <c r="I977" s="807"/>
      <c r="J977" s="807"/>
      <c r="K977" s="807"/>
      <c r="L977" s="807"/>
      <c r="M977" s="807"/>
      <c r="N977" s="144"/>
    </row>
    <row r="978" spans="1:14" ht="30" hidden="1" customHeight="1">
      <c r="C978" s="804" t="s">
        <v>327</v>
      </c>
      <c r="D978" s="805"/>
      <c r="E978" s="189" t="s">
        <v>240</v>
      </c>
      <c r="F978" s="806"/>
      <c r="G978" s="807"/>
      <c r="H978" s="807"/>
      <c r="I978" s="807"/>
      <c r="J978" s="807"/>
      <c r="K978" s="807"/>
      <c r="L978" s="807"/>
      <c r="M978" s="807"/>
      <c r="N978" s="144"/>
    </row>
    <row r="979" spans="1:14" ht="8.1" hidden="1" customHeight="1">
      <c r="C979" s="132"/>
      <c r="D979" s="132"/>
      <c r="E979" s="132"/>
      <c r="F979" s="132"/>
      <c r="G979" s="132"/>
      <c r="H979" s="132"/>
      <c r="I979" s="132"/>
      <c r="J979" s="132"/>
      <c r="K979" s="132"/>
      <c r="L979" s="132"/>
      <c r="M979" s="132"/>
    </row>
    <row r="980" spans="1:14" hidden="1"/>
    <row r="981" spans="1:14" hidden="1">
      <c r="A981" s="6" t="s">
        <v>693</v>
      </c>
      <c r="C981" s="798" t="s">
        <v>690</v>
      </c>
      <c r="D981" s="799"/>
      <c r="E981" s="800" t="str">
        <f>IF(C58="","",C58)</f>
        <v/>
      </c>
      <c r="F981" s="801"/>
      <c r="G981" s="801"/>
      <c r="H981" s="801"/>
      <c r="I981" s="801"/>
      <c r="J981" s="654" t="s">
        <v>322</v>
      </c>
      <c r="K981" s="655"/>
      <c r="L981" s="802">
        <f>D58</f>
        <v>0</v>
      </c>
      <c r="M981" s="803"/>
      <c r="N981" s="144"/>
    </row>
    <row r="982" spans="1:14" ht="45" hidden="1" customHeight="1">
      <c r="C982" s="654" t="s">
        <v>995</v>
      </c>
      <c r="D982" s="655"/>
      <c r="E982" s="808"/>
      <c r="F982" s="809"/>
      <c r="G982" s="809"/>
      <c r="H982" s="809"/>
      <c r="I982" s="809"/>
      <c r="J982" s="809"/>
      <c r="K982" s="809"/>
      <c r="L982" s="809"/>
      <c r="M982" s="809"/>
      <c r="N982" s="144"/>
    </row>
    <row r="983" spans="1:14" ht="60" hidden="1" customHeight="1">
      <c r="C983" s="810" t="str">
        <f>"The investment is mandated by a SES Regulation (i.e. PCP/CP1/Interoperability)?" &amp; IF($E983="yes"," Ref. to the Regulation and, if funded through Union assistance programmes, ref. to the relevant grant agreement.)","")</f>
        <v>The investment is mandated by a SES Regulation (i.e. PCP/CP1/Interoperability)?</v>
      </c>
      <c r="D983" s="811"/>
      <c r="E983" s="398" t="s">
        <v>240</v>
      </c>
      <c r="F983" s="632"/>
      <c r="G983" s="633"/>
      <c r="H983" s="633"/>
      <c r="I983" s="633"/>
      <c r="J983" s="633"/>
      <c r="K983" s="633"/>
      <c r="L983" s="633"/>
      <c r="M983" s="724"/>
      <c r="N983" s="144"/>
    </row>
    <row r="984" spans="1:14" ht="15" hidden="1" customHeight="1">
      <c r="C984" s="654" t="s">
        <v>1725</v>
      </c>
      <c r="D984" s="825"/>
      <c r="E984" s="417" t="s">
        <v>1550</v>
      </c>
      <c r="F984" s="417" t="s">
        <v>1551</v>
      </c>
      <c r="G984" s="417" t="s">
        <v>1552</v>
      </c>
      <c r="H984" s="417" t="s">
        <v>1553</v>
      </c>
      <c r="I984" s="417" t="s">
        <v>1554</v>
      </c>
      <c r="J984" s="417" t="s">
        <v>1555</v>
      </c>
      <c r="K984" s="417" t="s">
        <v>1556</v>
      </c>
      <c r="L984" s="821"/>
      <c r="M984" s="822"/>
      <c r="N984" s="144"/>
    </row>
    <row r="985" spans="1:14" ht="30" hidden="1" customHeight="1">
      <c r="C985" s="826"/>
      <c r="D985" s="827"/>
      <c r="E985" s="411"/>
      <c r="F985" s="411"/>
      <c r="G985" s="411"/>
      <c r="H985" s="411"/>
      <c r="I985" s="411"/>
      <c r="J985" s="411"/>
      <c r="K985" s="411"/>
      <c r="L985" s="823"/>
      <c r="M985" s="824"/>
      <c r="N985" s="144"/>
    </row>
    <row r="986" spans="1:14" ht="15" hidden="1" customHeight="1">
      <c r="C986" s="804" t="s">
        <v>1490</v>
      </c>
      <c r="D986" s="812"/>
      <c r="E986" s="399" t="s">
        <v>1484</v>
      </c>
      <c r="F986" s="632"/>
      <c r="G986" s="633"/>
      <c r="H986" s="633"/>
      <c r="I986" s="633"/>
      <c r="J986" s="633"/>
      <c r="K986" s="633"/>
      <c r="L986" s="633"/>
      <c r="M986" s="724"/>
      <c r="N986" s="144"/>
    </row>
    <row r="987" spans="1:14" hidden="1">
      <c r="C987" s="813"/>
      <c r="D987" s="814"/>
      <c r="E987" s="320" t="s">
        <v>1492</v>
      </c>
      <c r="F987" s="632"/>
      <c r="G987" s="633"/>
      <c r="H987" s="633"/>
      <c r="I987" s="633"/>
      <c r="J987" s="633"/>
      <c r="K987" s="633"/>
      <c r="L987" s="633"/>
      <c r="M987" s="724"/>
      <c r="N987" s="144"/>
    </row>
    <row r="988" spans="1:14" hidden="1">
      <c r="C988" s="815"/>
      <c r="D988" s="816"/>
      <c r="E988" s="400" t="s">
        <v>1485</v>
      </c>
      <c r="F988" s="632"/>
      <c r="G988" s="633"/>
      <c r="H988" s="633"/>
      <c r="I988" s="633"/>
      <c r="J988" s="633"/>
      <c r="K988" s="633"/>
      <c r="L988" s="633"/>
      <c r="M988" s="724"/>
      <c r="N988" s="144"/>
    </row>
    <row r="989" spans="1:14" hidden="1">
      <c r="C989" s="804" t="s">
        <v>1491</v>
      </c>
      <c r="D989" s="817"/>
      <c r="E989" s="360" t="s">
        <v>1486</v>
      </c>
      <c r="F989" s="632"/>
      <c r="G989" s="633"/>
      <c r="H989" s="633"/>
      <c r="I989" s="633"/>
      <c r="J989" s="633"/>
      <c r="K989" s="633"/>
      <c r="L989" s="633"/>
      <c r="M989" s="724"/>
      <c r="N989" s="144"/>
    </row>
    <row r="990" spans="1:14" hidden="1">
      <c r="C990" s="813"/>
      <c r="D990" s="818"/>
      <c r="E990" s="360" t="s">
        <v>1487</v>
      </c>
      <c r="F990" s="632"/>
      <c r="G990" s="633"/>
      <c r="H990" s="633"/>
      <c r="I990" s="633"/>
      <c r="J990" s="633"/>
      <c r="K990" s="633"/>
      <c r="L990" s="633"/>
      <c r="M990" s="724"/>
      <c r="N990" s="144"/>
    </row>
    <row r="991" spans="1:14" hidden="1">
      <c r="C991" s="813"/>
      <c r="D991" s="818"/>
      <c r="E991" s="360" t="s">
        <v>1488</v>
      </c>
      <c r="F991" s="632"/>
      <c r="G991" s="633"/>
      <c r="H991" s="633"/>
      <c r="I991" s="633"/>
      <c r="J991" s="633"/>
      <c r="K991" s="633"/>
      <c r="L991" s="633"/>
      <c r="M991" s="724"/>
      <c r="N991" s="144"/>
    </row>
    <row r="992" spans="1:14" hidden="1">
      <c r="C992" s="815"/>
      <c r="D992" s="819"/>
      <c r="E992" s="360" t="s">
        <v>1489</v>
      </c>
      <c r="F992" s="632"/>
      <c r="G992" s="633"/>
      <c r="H992" s="633"/>
      <c r="I992" s="633"/>
      <c r="J992" s="633"/>
      <c r="K992" s="633"/>
      <c r="L992" s="633"/>
      <c r="M992" s="724"/>
      <c r="N992" s="144"/>
    </row>
    <row r="993" spans="1:14" ht="45" hidden="1" customHeight="1">
      <c r="C993" s="654" t="str">
        <f>IF($E983="No","Results of the consultation of airspace users' representatives", "Benefits for airspace users and results of the consultation of airspace users' representatives")</f>
        <v>Benefits for airspace users and results of the consultation of airspace users' representatives</v>
      </c>
      <c r="D993" s="655"/>
      <c r="E993" s="820"/>
      <c r="F993" s="809"/>
      <c r="G993" s="809"/>
      <c r="H993" s="809"/>
      <c r="I993" s="809"/>
      <c r="J993" s="809"/>
      <c r="K993" s="809"/>
      <c r="L993" s="809"/>
      <c r="M993" s="809"/>
      <c r="N993" s="144"/>
    </row>
    <row r="994" spans="1:14" hidden="1">
      <c r="C994" s="654" t="s">
        <v>996</v>
      </c>
      <c r="D994" s="655"/>
      <c r="E994" s="189" t="s">
        <v>240</v>
      </c>
      <c r="F994" s="806"/>
      <c r="G994" s="807"/>
      <c r="H994" s="807"/>
      <c r="I994" s="807"/>
      <c r="J994" s="807"/>
      <c r="K994" s="807"/>
      <c r="L994" s="807"/>
      <c r="M994" s="807"/>
      <c r="N994" s="144"/>
    </row>
    <row r="995" spans="1:14" hidden="1">
      <c r="C995" s="654" t="s">
        <v>326</v>
      </c>
      <c r="D995" s="655"/>
      <c r="E995" s="189" t="s">
        <v>240</v>
      </c>
      <c r="F995" s="806"/>
      <c r="G995" s="807"/>
      <c r="H995" s="807"/>
      <c r="I995" s="807"/>
      <c r="J995" s="807"/>
      <c r="K995" s="807"/>
      <c r="L995" s="807"/>
      <c r="M995" s="807"/>
      <c r="N995" s="144"/>
    </row>
    <row r="996" spans="1:14" ht="15" hidden="1" customHeight="1">
      <c r="C996" s="804" t="s">
        <v>997</v>
      </c>
      <c r="D996" s="805"/>
      <c r="E996" s="189" t="s">
        <v>240</v>
      </c>
      <c r="F996" s="806"/>
      <c r="G996" s="807"/>
      <c r="H996" s="807"/>
      <c r="I996" s="807"/>
      <c r="J996" s="807"/>
      <c r="K996" s="807"/>
      <c r="L996" s="807"/>
      <c r="M996" s="807"/>
      <c r="N996" s="144"/>
    </row>
    <row r="997" spans="1:14" ht="30" hidden="1" customHeight="1">
      <c r="C997" s="804" t="s">
        <v>327</v>
      </c>
      <c r="D997" s="805"/>
      <c r="E997" s="189" t="s">
        <v>240</v>
      </c>
      <c r="F997" s="806"/>
      <c r="G997" s="807"/>
      <c r="H997" s="807"/>
      <c r="I997" s="807"/>
      <c r="J997" s="807"/>
      <c r="K997" s="807"/>
      <c r="L997" s="807"/>
      <c r="M997" s="807"/>
      <c r="N997" s="144"/>
    </row>
    <row r="998" spans="1:14" ht="8.1" hidden="1" customHeight="1">
      <c r="C998" s="132"/>
      <c r="D998" s="132"/>
      <c r="E998" s="132"/>
      <c r="F998" s="132"/>
      <c r="G998" s="132"/>
      <c r="H998" s="132"/>
      <c r="I998" s="132"/>
      <c r="J998" s="132"/>
      <c r="K998" s="132"/>
      <c r="L998" s="132"/>
      <c r="M998" s="132"/>
    </row>
    <row r="999" spans="1:14" hidden="1"/>
    <row r="1000" spans="1:14" hidden="1">
      <c r="A1000" s="6" t="s">
        <v>693</v>
      </c>
      <c r="C1000" s="798" t="s">
        <v>691</v>
      </c>
      <c r="D1000" s="799"/>
      <c r="E1000" s="800" t="str">
        <f>IF(C59="","",C59)</f>
        <v/>
      </c>
      <c r="F1000" s="801"/>
      <c r="G1000" s="801"/>
      <c r="H1000" s="801"/>
      <c r="I1000" s="801"/>
      <c r="J1000" s="654" t="s">
        <v>322</v>
      </c>
      <c r="K1000" s="655"/>
      <c r="L1000" s="802">
        <f>D59</f>
        <v>0</v>
      </c>
      <c r="M1000" s="803"/>
      <c r="N1000" s="144"/>
    </row>
    <row r="1001" spans="1:14" ht="45" hidden="1" customHeight="1">
      <c r="C1001" s="654" t="s">
        <v>995</v>
      </c>
      <c r="D1001" s="655"/>
      <c r="E1001" s="808"/>
      <c r="F1001" s="809"/>
      <c r="G1001" s="809"/>
      <c r="H1001" s="809"/>
      <c r="I1001" s="809"/>
      <c r="J1001" s="809"/>
      <c r="K1001" s="809"/>
      <c r="L1001" s="809"/>
      <c r="M1001" s="809"/>
      <c r="N1001" s="144"/>
    </row>
    <row r="1002" spans="1:14" ht="60" hidden="1" customHeight="1">
      <c r="C1002" s="810" t="str">
        <f>"The investment is mandated by a SES Regulation (i.e. PCP/CP1/Interoperability)?" &amp; IF($E1002="yes"," Ref. to the Regulation and, if funded through Union assistance programmes, ref. to the relevant grant agreement.)","")</f>
        <v>The investment is mandated by a SES Regulation (i.e. PCP/CP1/Interoperability)?</v>
      </c>
      <c r="D1002" s="811"/>
      <c r="E1002" s="398" t="s">
        <v>240</v>
      </c>
      <c r="F1002" s="632"/>
      <c r="G1002" s="633"/>
      <c r="H1002" s="633"/>
      <c r="I1002" s="633"/>
      <c r="J1002" s="633"/>
      <c r="K1002" s="633"/>
      <c r="L1002" s="633"/>
      <c r="M1002" s="724"/>
      <c r="N1002" s="144"/>
    </row>
    <row r="1003" spans="1:14" ht="15" hidden="1" customHeight="1">
      <c r="C1003" s="654" t="s">
        <v>1725</v>
      </c>
      <c r="D1003" s="825"/>
      <c r="E1003" s="417" t="s">
        <v>1550</v>
      </c>
      <c r="F1003" s="417" t="s">
        <v>1551</v>
      </c>
      <c r="G1003" s="417" t="s">
        <v>1552</v>
      </c>
      <c r="H1003" s="417" t="s">
        <v>1553</v>
      </c>
      <c r="I1003" s="417" t="s">
        <v>1554</v>
      </c>
      <c r="J1003" s="417" t="s">
        <v>1555</v>
      </c>
      <c r="K1003" s="417" t="s">
        <v>1556</v>
      </c>
      <c r="L1003" s="821"/>
      <c r="M1003" s="822"/>
      <c r="N1003" s="144"/>
    </row>
    <row r="1004" spans="1:14" ht="30" hidden="1" customHeight="1">
      <c r="C1004" s="826"/>
      <c r="D1004" s="827"/>
      <c r="E1004" s="411"/>
      <c r="F1004" s="411"/>
      <c r="G1004" s="411"/>
      <c r="H1004" s="411"/>
      <c r="I1004" s="411"/>
      <c r="J1004" s="411"/>
      <c r="K1004" s="411"/>
      <c r="L1004" s="823"/>
      <c r="M1004" s="824"/>
      <c r="N1004" s="144"/>
    </row>
    <row r="1005" spans="1:14" ht="15" hidden="1" customHeight="1">
      <c r="C1005" s="804" t="s">
        <v>1490</v>
      </c>
      <c r="D1005" s="812"/>
      <c r="E1005" s="399" t="s">
        <v>1484</v>
      </c>
      <c r="F1005" s="632"/>
      <c r="G1005" s="633"/>
      <c r="H1005" s="633"/>
      <c r="I1005" s="633"/>
      <c r="J1005" s="633"/>
      <c r="K1005" s="633"/>
      <c r="L1005" s="633"/>
      <c r="M1005" s="724"/>
      <c r="N1005" s="144"/>
    </row>
    <row r="1006" spans="1:14" hidden="1">
      <c r="C1006" s="813"/>
      <c r="D1006" s="814"/>
      <c r="E1006" s="320" t="s">
        <v>1492</v>
      </c>
      <c r="F1006" s="632"/>
      <c r="G1006" s="633"/>
      <c r="H1006" s="633"/>
      <c r="I1006" s="633"/>
      <c r="J1006" s="633"/>
      <c r="K1006" s="633"/>
      <c r="L1006" s="633"/>
      <c r="M1006" s="724"/>
      <c r="N1006" s="144"/>
    </row>
    <row r="1007" spans="1:14" hidden="1">
      <c r="C1007" s="815"/>
      <c r="D1007" s="816"/>
      <c r="E1007" s="400" t="s">
        <v>1485</v>
      </c>
      <c r="F1007" s="632"/>
      <c r="G1007" s="633"/>
      <c r="H1007" s="633"/>
      <c r="I1007" s="633"/>
      <c r="J1007" s="633"/>
      <c r="K1007" s="633"/>
      <c r="L1007" s="633"/>
      <c r="M1007" s="724"/>
      <c r="N1007" s="144"/>
    </row>
    <row r="1008" spans="1:14" hidden="1">
      <c r="C1008" s="804" t="s">
        <v>1491</v>
      </c>
      <c r="D1008" s="817"/>
      <c r="E1008" s="360" t="s">
        <v>1486</v>
      </c>
      <c r="F1008" s="632"/>
      <c r="G1008" s="633"/>
      <c r="H1008" s="633"/>
      <c r="I1008" s="633"/>
      <c r="J1008" s="633"/>
      <c r="K1008" s="633"/>
      <c r="L1008" s="633"/>
      <c r="M1008" s="724"/>
      <c r="N1008" s="144"/>
    </row>
    <row r="1009" spans="2:15" hidden="1">
      <c r="C1009" s="813"/>
      <c r="D1009" s="818"/>
      <c r="E1009" s="360" t="s">
        <v>1487</v>
      </c>
      <c r="F1009" s="632"/>
      <c r="G1009" s="633"/>
      <c r="H1009" s="633"/>
      <c r="I1009" s="633"/>
      <c r="J1009" s="633"/>
      <c r="K1009" s="633"/>
      <c r="L1009" s="633"/>
      <c r="M1009" s="724"/>
      <c r="N1009" s="144"/>
    </row>
    <row r="1010" spans="2:15" hidden="1">
      <c r="C1010" s="813"/>
      <c r="D1010" s="818"/>
      <c r="E1010" s="360" t="s">
        <v>1488</v>
      </c>
      <c r="F1010" s="632"/>
      <c r="G1010" s="633"/>
      <c r="H1010" s="633"/>
      <c r="I1010" s="633"/>
      <c r="J1010" s="633"/>
      <c r="K1010" s="633"/>
      <c r="L1010" s="633"/>
      <c r="M1010" s="724"/>
      <c r="N1010" s="144"/>
    </row>
    <row r="1011" spans="2:15" hidden="1">
      <c r="C1011" s="815"/>
      <c r="D1011" s="819"/>
      <c r="E1011" s="360" t="s">
        <v>1489</v>
      </c>
      <c r="F1011" s="632"/>
      <c r="G1011" s="633"/>
      <c r="H1011" s="633"/>
      <c r="I1011" s="633"/>
      <c r="J1011" s="633"/>
      <c r="K1011" s="633"/>
      <c r="L1011" s="633"/>
      <c r="M1011" s="724"/>
      <c r="N1011" s="144"/>
    </row>
    <row r="1012" spans="2:15" ht="45" hidden="1" customHeight="1">
      <c r="C1012" s="654" t="str">
        <f>IF($E1002="No","Results of the consultation of airspace users' representatives", "Benefits for airspace users and results of the consultation of airspace users' representatives")</f>
        <v>Benefits for airspace users and results of the consultation of airspace users' representatives</v>
      </c>
      <c r="D1012" s="655"/>
      <c r="E1012" s="820"/>
      <c r="F1012" s="809"/>
      <c r="G1012" s="809"/>
      <c r="H1012" s="809"/>
      <c r="I1012" s="809"/>
      <c r="J1012" s="809"/>
      <c r="K1012" s="809"/>
      <c r="L1012" s="809"/>
      <c r="M1012" s="809"/>
      <c r="N1012" s="144"/>
    </row>
    <row r="1013" spans="2:15" hidden="1">
      <c r="C1013" s="654" t="s">
        <v>996</v>
      </c>
      <c r="D1013" s="655"/>
      <c r="E1013" s="189" t="s">
        <v>240</v>
      </c>
      <c r="F1013" s="806"/>
      <c r="G1013" s="807"/>
      <c r="H1013" s="807"/>
      <c r="I1013" s="807"/>
      <c r="J1013" s="807"/>
      <c r="K1013" s="807"/>
      <c r="L1013" s="807"/>
      <c r="M1013" s="807"/>
      <c r="N1013" s="144"/>
    </row>
    <row r="1014" spans="2:15" hidden="1">
      <c r="C1014" s="654" t="s">
        <v>326</v>
      </c>
      <c r="D1014" s="655"/>
      <c r="E1014" s="189" t="s">
        <v>240</v>
      </c>
      <c r="F1014" s="806"/>
      <c r="G1014" s="807"/>
      <c r="H1014" s="807"/>
      <c r="I1014" s="807"/>
      <c r="J1014" s="807"/>
      <c r="K1014" s="807"/>
      <c r="L1014" s="807"/>
      <c r="M1014" s="807"/>
      <c r="N1014" s="144"/>
    </row>
    <row r="1015" spans="2:15" ht="15" hidden="1" customHeight="1">
      <c r="C1015" s="804" t="s">
        <v>997</v>
      </c>
      <c r="D1015" s="805"/>
      <c r="E1015" s="189" t="s">
        <v>240</v>
      </c>
      <c r="F1015" s="806"/>
      <c r="G1015" s="807"/>
      <c r="H1015" s="807"/>
      <c r="I1015" s="807"/>
      <c r="J1015" s="807"/>
      <c r="K1015" s="807"/>
      <c r="L1015" s="807"/>
      <c r="M1015" s="807"/>
      <c r="N1015" s="144"/>
    </row>
    <row r="1016" spans="2:15" ht="30" hidden="1" customHeight="1">
      <c r="C1016" s="804" t="s">
        <v>327</v>
      </c>
      <c r="D1016" s="805"/>
      <c r="E1016" s="189" t="s">
        <v>240</v>
      </c>
      <c r="F1016" s="806"/>
      <c r="G1016" s="807"/>
      <c r="H1016" s="807"/>
      <c r="I1016" s="807"/>
      <c r="J1016" s="807"/>
      <c r="K1016" s="807"/>
      <c r="L1016" s="807"/>
      <c r="M1016" s="807"/>
      <c r="N1016" s="144"/>
    </row>
    <row r="1017" spans="2:15" hidden="1">
      <c r="C1017" s="132"/>
      <c r="D1017" s="132"/>
      <c r="E1017" s="132"/>
      <c r="F1017" s="132"/>
      <c r="G1017" s="132"/>
      <c r="H1017" s="132"/>
      <c r="I1017" s="132"/>
      <c r="J1017" s="132"/>
      <c r="K1017" s="132"/>
      <c r="L1017" s="132"/>
      <c r="M1017" s="132"/>
    </row>
    <row r="1018" spans="2:15" hidden="1"/>
    <row r="1019" spans="2:15" ht="17.25">
      <c r="B1019" s="32" t="s">
        <v>1036</v>
      </c>
      <c r="C1019" s="32"/>
      <c r="D1019" s="32"/>
      <c r="E1019" s="32"/>
      <c r="F1019" s="32"/>
      <c r="G1019" s="32"/>
      <c r="H1019" s="32"/>
      <c r="I1019" s="32"/>
      <c r="J1019" s="32"/>
      <c r="K1019" s="32"/>
      <c r="L1019" s="32"/>
      <c r="M1019" s="32"/>
      <c r="N1019" s="32"/>
    </row>
    <row r="1020" spans="2:15" ht="8.1" customHeight="1">
      <c r="B1020" s="32"/>
      <c r="C1020" s="32"/>
      <c r="D1020" s="32"/>
      <c r="E1020" s="32"/>
      <c r="F1020" s="32"/>
      <c r="G1020" s="32"/>
      <c r="H1020" s="32"/>
      <c r="I1020" s="32"/>
      <c r="J1020" s="32"/>
      <c r="K1020" s="32"/>
      <c r="L1020" s="32"/>
      <c r="M1020" s="32"/>
      <c r="N1020" s="32"/>
    </row>
    <row r="1021" spans="2:15" ht="17.25">
      <c r="B1021" s="50" t="s">
        <v>1684</v>
      </c>
      <c r="C1021" s="32"/>
      <c r="D1021" s="32"/>
      <c r="E1021" s="32"/>
      <c r="F1021" s="32"/>
      <c r="G1021" s="32"/>
      <c r="H1021" s="32"/>
      <c r="I1021" s="32"/>
      <c r="J1021" s="32"/>
      <c r="K1021" s="32"/>
      <c r="L1021" s="32"/>
      <c r="M1021" s="32"/>
      <c r="N1021" s="32"/>
    </row>
    <row r="1022" spans="2:15" ht="15" customHeight="1"/>
    <row r="1023" spans="2:15" ht="99.75" customHeight="1">
      <c r="B1023" s="758"/>
      <c r="C1023" s="759"/>
      <c r="D1023" s="759"/>
      <c r="E1023" s="759"/>
      <c r="F1023" s="759"/>
      <c r="G1023" s="759"/>
      <c r="H1023" s="759"/>
      <c r="I1023" s="759"/>
      <c r="J1023" s="759"/>
      <c r="K1023" s="759"/>
      <c r="L1023" s="759"/>
      <c r="M1023" s="759"/>
      <c r="N1023" s="768"/>
      <c r="O1023" s="144"/>
    </row>
    <row r="1024" spans="2:15" ht="17.25">
      <c r="B1024" s="32"/>
      <c r="C1024" s="32"/>
      <c r="D1024" s="32"/>
      <c r="E1024" s="32"/>
      <c r="F1024" s="32"/>
      <c r="G1024" s="32"/>
      <c r="H1024" s="32"/>
      <c r="I1024" s="32"/>
      <c r="J1024" s="32"/>
      <c r="K1024" s="32"/>
      <c r="L1024" s="32"/>
      <c r="M1024" s="32"/>
      <c r="N1024" s="32"/>
    </row>
    <row r="1025" spans="2:14" ht="17.25">
      <c r="B1025" s="50" t="s">
        <v>1685</v>
      </c>
      <c r="C1025" s="32"/>
      <c r="D1025" s="32"/>
      <c r="E1025" s="32"/>
      <c r="F1025" s="32"/>
      <c r="G1025" s="32"/>
      <c r="H1025" s="32"/>
      <c r="I1025" s="32"/>
      <c r="J1025" s="32"/>
      <c r="K1025" s="32"/>
      <c r="L1025" s="32"/>
      <c r="M1025" s="32"/>
      <c r="N1025" s="32"/>
    </row>
    <row r="1026" spans="2:14" ht="17.25">
      <c r="B1026" s="32"/>
      <c r="C1026" s="32"/>
      <c r="D1026" s="32"/>
      <c r="E1026" s="32"/>
      <c r="F1026" s="32"/>
      <c r="G1026" s="32"/>
      <c r="H1026" s="32"/>
      <c r="I1026" s="32"/>
      <c r="J1026" s="32"/>
      <c r="K1026" s="32"/>
      <c r="L1026" s="32"/>
      <c r="M1026" s="32"/>
      <c r="N1026" s="32"/>
    </row>
    <row r="1027" spans="2:14" ht="17.25">
      <c r="B1027" s="793" t="s">
        <v>1666</v>
      </c>
      <c r="C1027" s="793"/>
      <c r="D1027" s="857" t="s">
        <v>1667</v>
      </c>
      <c r="E1027" s="857"/>
      <c r="F1027" s="857"/>
      <c r="G1027" s="274"/>
      <c r="H1027" s="32"/>
      <c r="I1027" s="32"/>
      <c r="J1027" s="32"/>
      <c r="K1027" s="32"/>
      <c r="L1027" s="32"/>
      <c r="M1027" s="32"/>
      <c r="N1027" s="32"/>
    </row>
    <row r="1028" spans="2:14" ht="15" customHeight="1">
      <c r="B1028" s="32"/>
      <c r="C1028" s="32"/>
      <c r="D1028" s="32"/>
      <c r="E1028" s="32"/>
      <c r="F1028" s="32"/>
      <c r="G1028" s="32"/>
      <c r="H1028" s="32"/>
      <c r="I1028" s="32"/>
      <c r="J1028" s="32"/>
      <c r="K1028" s="32"/>
      <c r="L1028" s="32"/>
      <c r="M1028" s="32"/>
      <c r="N1028" s="32"/>
    </row>
    <row r="1029" spans="2:14" ht="30" customHeight="1">
      <c r="B1029" s="673" t="s">
        <v>361</v>
      </c>
      <c r="C1029" s="673" t="s">
        <v>1538</v>
      </c>
      <c r="D1029" s="673" t="s">
        <v>316</v>
      </c>
      <c r="E1029" s="852" t="s">
        <v>993</v>
      </c>
      <c r="F1029" s="673" t="s">
        <v>317</v>
      </c>
      <c r="G1029" s="673"/>
      <c r="H1029" s="673"/>
      <c r="I1029" s="673"/>
      <c r="J1029" s="673"/>
      <c r="K1029" s="673" t="s">
        <v>25</v>
      </c>
      <c r="L1029" s="674"/>
      <c r="M1029" s="674"/>
      <c r="N1029" s="773"/>
    </row>
    <row r="1030" spans="2:14" ht="30" customHeight="1">
      <c r="B1030" s="664" t="s">
        <v>361</v>
      </c>
      <c r="C1030" s="664"/>
      <c r="D1030" s="664"/>
      <c r="E1030" s="853"/>
      <c r="F1030" s="313">
        <v>2020</v>
      </c>
      <c r="G1030" s="313">
        <v>2021</v>
      </c>
      <c r="H1030" s="313">
        <v>2022</v>
      </c>
      <c r="I1030" s="313">
        <v>2023</v>
      </c>
      <c r="J1030" s="313">
        <v>2024</v>
      </c>
      <c r="K1030" s="795"/>
      <c r="L1030" s="796"/>
      <c r="M1030" s="796"/>
      <c r="N1030" s="797"/>
    </row>
    <row r="1031" spans="2:14" hidden="1">
      <c r="B1031" s="403">
        <v>1</v>
      </c>
      <c r="C1031" s="401"/>
      <c r="D1031" s="205"/>
      <c r="E1031" s="205"/>
      <c r="F1031" s="402"/>
      <c r="G1031" s="402"/>
      <c r="H1031" s="402"/>
      <c r="I1031" s="402"/>
      <c r="J1031" s="402"/>
      <c r="K1031" s="790"/>
      <c r="L1031" s="791"/>
      <c r="M1031" s="791"/>
      <c r="N1031" s="792"/>
    </row>
    <row r="1032" spans="2:14" hidden="1">
      <c r="B1032" s="403">
        <v>2</v>
      </c>
      <c r="C1032" s="401"/>
      <c r="D1032" s="205"/>
      <c r="E1032" s="205"/>
      <c r="F1032" s="402"/>
      <c r="G1032" s="402"/>
      <c r="H1032" s="402"/>
      <c r="I1032" s="402"/>
      <c r="J1032" s="402"/>
      <c r="K1032" s="790"/>
      <c r="L1032" s="791"/>
      <c r="M1032" s="791"/>
      <c r="N1032" s="792"/>
    </row>
    <row r="1033" spans="2:14" hidden="1">
      <c r="B1033" s="403">
        <v>3</v>
      </c>
      <c r="C1033" s="401"/>
      <c r="D1033" s="205"/>
      <c r="E1033" s="205"/>
      <c r="F1033" s="402"/>
      <c r="G1033" s="402"/>
      <c r="H1033" s="402"/>
      <c r="I1033" s="402"/>
      <c r="J1033" s="402"/>
      <c r="K1033" s="790"/>
      <c r="L1033" s="791"/>
      <c r="M1033" s="791"/>
      <c r="N1033" s="792"/>
    </row>
    <row r="1034" spans="2:14" hidden="1">
      <c r="B1034" s="403">
        <v>4</v>
      </c>
      <c r="C1034" s="401"/>
      <c r="D1034" s="205"/>
      <c r="E1034" s="205"/>
      <c r="F1034" s="402"/>
      <c r="G1034" s="402"/>
      <c r="H1034" s="402"/>
      <c r="I1034" s="402"/>
      <c r="J1034" s="402"/>
      <c r="K1034" s="790"/>
      <c r="L1034" s="791"/>
      <c r="M1034" s="791"/>
      <c r="N1034" s="792"/>
    </row>
    <row r="1035" spans="2:14" hidden="1">
      <c r="B1035" s="403">
        <v>5</v>
      </c>
      <c r="C1035" s="401"/>
      <c r="D1035" s="205"/>
      <c r="E1035" s="205"/>
      <c r="F1035" s="402"/>
      <c r="G1035" s="402"/>
      <c r="H1035" s="402"/>
      <c r="I1035" s="402"/>
      <c r="J1035" s="402"/>
      <c r="K1035" s="790"/>
      <c r="L1035" s="791"/>
      <c r="M1035" s="791"/>
      <c r="N1035" s="792"/>
    </row>
    <row r="1036" spans="2:14" hidden="1">
      <c r="B1036" s="403">
        <v>6</v>
      </c>
      <c r="C1036" s="401"/>
      <c r="D1036" s="205"/>
      <c r="E1036" s="205"/>
      <c r="F1036" s="402"/>
      <c r="G1036" s="402"/>
      <c r="H1036" s="402"/>
      <c r="I1036" s="402"/>
      <c r="J1036" s="402"/>
      <c r="K1036" s="790"/>
      <c r="L1036" s="791"/>
      <c r="M1036" s="791"/>
      <c r="N1036" s="792"/>
    </row>
    <row r="1037" spans="2:14" hidden="1">
      <c r="B1037" s="403">
        <v>7</v>
      </c>
      <c r="C1037" s="401"/>
      <c r="D1037" s="205"/>
      <c r="E1037" s="205"/>
      <c r="F1037" s="402"/>
      <c r="G1037" s="402"/>
      <c r="H1037" s="402"/>
      <c r="I1037" s="402"/>
      <c r="J1037" s="402"/>
      <c r="K1037" s="790"/>
      <c r="L1037" s="791"/>
      <c r="M1037" s="791"/>
      <c r="N1037" s="792"/>
    </row>
    <row r="1038" spans="2:14" hidden="1">
      <c r="B1038" s="403">
        <v>8</v>
      </c>
      <c r="C1038" s="401"/>
      <c r="D1038" s="205"/>
      <c r="E1038" s="205"/>
      <c r="F1038" s="402"/>
      <c r="G1038" s="402"/>
      <c r="H1038" s="402"/>
      <c r="I1038" s="402"/>
      <c r="J1038" s="402"/>
      <c r="K1038" s="790"/>
      <c r="L1038" s="791"/>
      <c r="M1038" s="791"/>
      <c r="N1038" s="792"/>
    </row>
    <row r="1039" spans="2:14" hidden="1">
      <c r="B1039" s="403">
        <v>9</v>
      </c>
      <c r="C1039" s="401"/>
      <c r="D1039" s="205"/>
      <c r="E1039" s="205"/>
      <c r="F1039" s="402"/>
      <c r="G1039" s="402"/>
      <c r="H1039" s="402"/>
      <c r="I1039" s="402"/>
      <c r="J1039" s="402"/>
      <c r="K1039" s="790"/>
      <c r="L1039" s="791"/>
      <c r="M1039" s="791"/>
      <c r="N1039" s="792"/>
    </row>
    <row r="1040" spans="2:14" hidden="1">
      <c r="B1040" s="403">
        <v>10</v>
      </c>
      <c r="C1040" s="401"/>
      <c r="D1040" s="205"/>
      <c r="E1040" s="205"/>
      <c r="F1040" s="402"/>
      <c r="G1040" s="402"/>
      <c r="H1040" s="402"/>
      <c r="I1040" s="402"/>
      <c r="J1040" s="402"/>
      <c r="K1040" s="790"/>
      <c r="L1040" s="791"/>
      <c r="M1040" s="791"/>
      <c r="N1040" s="792"/>
    </row>
    <row r="1041" spans="2:14" hidden="1">
      <c r="B1041" s="403">
        <v>11</v>
      </c>
      <c r="C1041" s="401"/>
      <c r="D1041" s="205"/>
      <c r="E1041" s="205"/>
      <c r="F1041" s="402"/>
      <c r="G1041" s="402"/>
      <c r="H1041" s="402"/>
      <c r="I1041" s="402"/>
      <c r="J1041" s="402"/>
      <c r="K1041" s="790"/>
      <c r="L1041" s="791"/>
      <c r="M1041" s="791"/>
      <c r="N1041" s="792"/>
    </row>
    <row r="1042" spans="2:14" hidden="1">
      <c r="B1042" s="403">
        <v>12</v>
      </c>
      <c r="C1042" s="401"/>
      <c r="D1042" s="205"/>
      <c r="E1042" s="205"/>
      <c r="F1042" s="402"/>
      <c r="G1042" s="402"/>
      <c r="H1042" s="402"/>
      <c r="I1042" s="402"/>
      <c r="J1042" s="402"/>
      <c r="K1042" s="790"/>
      <c r="L1042" s="791"/>
      <c r="M1042" s="791"/>
      <c r="N1042" s="792"/>
    </row>
    <row r="1043" spans="2:14" hidden="1">
      <c r="B1043" s="403">
        <v>13</v>
      </c>
      <c r="C1043" s="401"/>
      <c r="D1043" s="205"/>
      <c r="E1043" s="205"/>
      <c r="F1043" s="402"/>
      <c r="G1043" s="402"/>
      <c r="H1043" s="402"/>
      <c r="I1043" s="402"/>
      <c r="J1043" s="402"/>
      <c r="K1043" s="790"/>
      <c r="L1043" s="791"/>
      <c r="M1043" s="791"/>
      <c r="N1043" s="792"/>
    </row>
    <row r="1044" spans="2:14" hidden="1">
      <c r="B1044" s="403">
        <v>14</v>
      </c>
      <c r="C1044" s="401"/>
      <c r="D1044" s="205"/>
      <c r="E1044" s="205"/>
      <c r="F1044" s="402"/>
      <c r="G1044" s="402"/>
      <c r="H1044" s="402"/>
      <c r="I1044" s="402"/>
      <c r="J1044" s="402"/>
      <c r="K1044" s="790"/>
      <c r="L1044" s="791"/>
      <c r="M1044" s="791"/>
      <c r="N1044" s="792"/>
    </row>
    <row r="1045" spans="2:14" hidden="1">
      <c r="B1045" s="403">
        <v>15</v>
      </c>
      <c r="C1045" s="401"/>
      <c r="D1045" s="205"/>
      <c r="E1045" s="205"/>
      <c r="F1045" s="402"/>
      <c r="G1045" s="402"/>
      <c r="H1045" s="402"/>
      <c r="I1045" s="402"/>
      <c r="J1045" s="402"/>
      <c r="K1045" s="790"/>
      <c r="L1045" s="791"/>
      <c r="M1045" s="791"/>
      <c r="N1045" s="792"/>
    </row>
    <row r="1046" spans="2:14" hidden="1">
      <c r="B1046" s="403">
        <v>16</v>
      </c>
      <c r="C1046" s="401"/>
      <c r="D1046" s="205"/>
      <c r="E1046" s="205"/>
      <c r="F1046" s="402"/>
      <c r="G1046" s="402"/>
      <c r="H1046" s="402"/>
      <c r="I1046" s="402"/>
      <c r="J1046" s="402"/>
      <c r="K1046" s="790"/>
      <c r="L1046" s="791"/>
      <c r="M1046" s="791"/>
      <c r="N1046" s="792"/>
    </row>
    <row r="1047" spans="2:14" hidden="1">
      <c r="B1047" s="403">
        <v>17</v>
      </c>
      <c r="C1047" s="401"/>
      <c r="D1047" s="205"/>
      <c r="E1047" s="205"/>
      <c r="F1047" s="402"/>
      <c r="G1047" s="402"/>
      <c r="H1047" s="402"/>
      <c r="I1047" s="402"/>
      <c r="J1047" s="402"/>
      <c r="K1047" s="790"/>
      <c r="L1047" s="791"/>
      <c r="M1047" s="791"/>
      <c r="N1047" s="792"/>
    </row>
    <row r="1048" spans="2:14" hidden="1">
      <c r="B1048" s="403">
        <v>18</v>
      </c>
      <c r="C1048" s="401"/>
      <c r="D1048" s="205"/>
      <c r="E1048" s="205"/>
      <c r="F1048" s="402"/>
      <c r="G1048" s="402"/>
      <c r="H1048" s="402"/>
      <c r="I1048" s="402"/>
      <c r="J1048" s="402"/>
      <c r="K1048" s="790"/>
      <c r="L1048" s="791"/>
      <c r="M1048" s="791"/>
      <c r="N1048" s="792"/>
    </row>
    <row r="1049" spans="2:14" hidden="1">
      <c r="B1049" s="403">
        <v>19</v>
      </c>
      <c r="C1049" s="401"/>
      <c r="D1049" s="205"/>
      <c r="E1049" s="205"/>
      <c r="F1049" s="402"/>
      <c r="G1049" s="402"/>
      <c r="H1049" s="402"/>
      <c r="I1049" s="402"/>
      <c r="J1049" s="402"/>
      <c r="K1049" s="790"/>
      <c r="L1049" s="791"/>
      <c r="M1049" s="791"/>
      <c r="N1049" s="792"/>
    </row>
    <row r="1050" spans="2:14" hidden="1">
      <c r="B1050" s="403">
        <v>20</v>
      </c>
      <c r="C1050" s="401"/>
      <c r="D1050" s="404"/>
      <c r="E1050" s="402"/>
      <c r="F1050" s="402"/>
      <c r="G1050" s="402"/>
      <c r="H1050" s="402"/>
      <c r="I1050" s="402"/>
      <c r="J1050" s="402"/>
      <c r="K1050" s="790"/>
      <c r="L1050" s="791"/>
      <c r="M1050" s="791"/>
      <c r="N1050" s="792"/>
    </row>
    <row r="1051" spans="2:14" ht="15" customHeight="1">
      <c r="B1051" s="132"/>
      <c r="C1051" s="132"/>
      <c r="D1051" s="132"/>
      <c r="E1051" s="132"/>
      <c r="F1051" s="132"/>
      <c r="G1051" s="132"/>
      <c r="H1051" s="132"/>
      <c r="I1051" s="132"/>
      <c r="J1051" s="132"/>
      <c r="K1051" s="132"/>
      <c r="L1051" s="132"/>
      <c r="M1051" s="132"/>
      <c r="N1051" s="132"/>
    </row>
    <row r="1052" spans="2:14" ht="15" customHeight="1">
      <c r="F1052" s="455"/>
      <c r="G1052" s="455"/>
      <c r="H1052" s="455"/>
      <c r="I1052" s="455"/>
      <c r="J1052" s="455"/>
      <c r="K1052" s="455"/>
      <c r="L1052" s="455"/>
    </row>
  </sheetData>
  <sheetProtection formatCells="0" formatColumns="0" formatRows="0" insertHyperlinks="0"/>
  <dataConsolidate/>
  <mergeCells count="1545">
    <mergeCell ref="B63:C63"/>
    <mergeCell ref="B64:K64"/>
    <mergeCell ref="B67:K67"/>
    <mergeCell ref="C69:D69"/>
    <mergeCell ref="E69:I69"/>
    <mergeCell ref="J69:K69"/>
    <mergeCell ref="K8:K9"/>
    <mergeCell ref="L8:M8"/>
    <mergeCell ref="N8:N9"/>
    <mergeCell ref="B60:C60"/>
    <mergeCell ref="B61:C61"/>
    <mergeCell ref="B62:C62"/>
    <mergeCell ref="B6:C6"/>
    <mergeCell ref="D6:F6"/>
    <mergeCell ref="B8:B9"/>
    <mergeCell ref="C8:C9"/>
    <mergeCell ref="D8:D9"/>
    <mergeCell ref="E8:E9"/>
    <mergeCell ref="F8:J8"/>
    <mergeCell ref="C81:D81"/>
    <mergeCell ref="E81:M81"/>
    <mergeCell ref="C82:D82"/>
    <mergeCell ref="F82:M82"/>
    <mergeCell ref="C83:D83"/>
    <mergeCell ref="F83:M83"/>
    <mergeCell ref="C74:D76"/>
    <mergeCell ref="F74:M74"/>
    <mergeCell ref="F75:M75"/>
    <mergeCell ref="F76:M76"/>
    <mergeCell ref="C77:D80"/>
    <mergeCell ref="F77:M77"/>
    <mergeCell ref="F78:M78"/>
    <mergeCell ref="F79:M79"/>
    <mergeCell ref="F80:M80"/>
    <mergeCell ref="L69:M69"/>
    <mergeCell ref="C70:D70"/>
    <mergeCell ref="E70:M70"/>
    <mergeCell ref="C71:D71"/>
    <mergeCell ref="F71:M71"/>
    <mergeCell ref="C72:D73"/>
    <mergeCell ref="L72:M72"/>
    <mergeCell ref="L73:M73"/>
    <mergeCell ref="C93:D95"/>
    <mergeCell ref="F93:M93"/>
    <mergeCell ref="F94:M94"/>
    <mergeCell ref="F95:M95"/>
    <mergeCell ref="C96:D99"/>
    <mergeCell ref="F96:M96"/>
    <mergeCell ref="F97:M97"/>
    <mergeCell ref="F98:M98"/>
    <mergeCell ref="F99:M99"/>
    <mergeCell ref="C89:D89"/>
    <mergeCell ref="E89:M89"/>
    <mergeCell ref="C90:D90"/>
    <mergeCell ref="F90:M90"/>
    <mergeCell ref="C91:D92"/>
    <mergeCell ref="L91:M91"/>
    <mergeCell ref="L92:M92"/>
    <mergeCell ref="C84:D84"/>
    <mergeCell ref="F84:M84"/>
    <mergeCell ref="C85:D85"/>
    <mergeCell ref="F85:M85"/>
    <mergeCell ref="C88:D88"/>
    <mergeCell ref="E88:I88"/>
    <mergeCell ref="J88:K88"/>
    <mergeCell ref="L88:M88"/>
    <mergeCell ref="C108:D108"/>
    <mergeCell ref="E108:M108"/>
    <mergeCell ref="C109:D109"/>
    <mergeCell ref="F109:M109"/>
    <mergeCell ref="C110:D111"/>
    <mergeCell ref="L110:M110"/>
    <mergeCell ref="L111:M111"/>
    <mergeCell ref="C103:D103"/>
    <mergeCell ref="F103:M103"/>
    <mergeCell ref="C104:D104"/>
    <mergeCell ref="F104:M104"/>
    <mergeCell ref="C107:D107"/>
    <mergeCell ref="E107:I107"/>
    <mergeCell ref="J107:K107"/>
    <mergeCell ref="L107:M107"/>
    <mergeCell ref="C100:D100"/>
    <mergeCell ref="E100:M100"/>
    <mergeCell ref="C101:D101"/>
    <mergeCell ref="F101:M101"/>
    <mergeCell ref="C102:D102"/>
    <mergeCell ref="F102:M102"/>
    <mergeCell ref="C122:D122"/>
    <mergeCell ref="F122:M122"/>
    <mergeCell ref="C123:D123"/>
    <mergeCell ref="F123:M123"/>
    <mergeCell ref="C126:D126"/>
    <mergeCell ref="E126:I126"/>
    <mergeCell ref="J126:K126"/>
    <mergeCell ref="L126:M126"/>
    <mergeCell ref="C119:D119"/>
    <mergeCell ref="E119:M119"/>
    <mergeCell ref="C120:D120"/>
    <mergeCell ref="F120:M120"/>
    <mergeCell ref="C121:D121"/>
    <mergeCell ref="F121:M121"/>
    <mergeCell ref="C112:D114"/>
    <mergeCell ref="F112:M112"/>
    <mergeCell ref="F113:M113"/>
    <mergeCell ref="F114:M114"/>
    <mergeCell ref="C115:D118"/>
    <mergeCell ref="F115:M115"/>
    <mergeCell ref="F116:M116"/>
    <mergeCell ref="F117:M117"/>
    <mergeCell ref="F118:M118"/>
    <mergeCell ref="C138:D138"/>
    <mergeCell ref="E138:M138"/>
    <mergeCell ref="C139:D139"/>
    <mergeCell ref="F139:M139"/>
    <mergeCell ref="C140:D140"/>
    <mergeCell ref="F140:M140"/>
    <mergeCell ref="C131:D133"/>
    <mergeCell ref="F131:M131"/>
    <mergeCell ref="F132:M132"/>
    <mergeCell ref="F133:M133"/>
    <mergeCell ref="C134:D137"/>
    <mergeCell ref="F134:M134"/>
    <mergeCell ref="F135:M135"/>
    <mergeCell ref="F136:M136"/>
    <mergeCell ref="F137:M137"/>
    <mergeCell ref="C127:D127"/>
    <mergeCell ref="E127:M127"/>
    <mergeCell ref="C128:D128"/>
    <mergeCell ref="F128:M128"/>
    <mergeCell ref="C129:D130"/>
    <mergeCell ref="L129:M129"/>
    <mergeCell ref="L130:M130"/>
    <mergeCell ref="C150:D152"/>
    <mergeCell ref="F150:M150"/>
    <mergeCell ref="F151:M151"/>
    <mergeCell ref="F152:M152"/>
    <mergeCell ref="C153:D156"/>
    <mergeCell ref="F153:M153"/>
    <mergeCell ref="F154:M154"/>
    <mergeCell ref="F155:M155"/>
    <mergeCell ref="F156:M156"/>
    <mergeCell ref="C146:D146"/>
    <mergeCell ref="E146:M146"/>
    <mergeCell ref="C147:D147"/>
    <mergeCell ref="F147:M147"/>
    <mergeCell ref="C148:D149"/>
    <mergeCell ref="L148:M148"/>
    <mergeCell ref="L149:M149"/>
    <mergeCell ref="C141:D141"/>
    <mergeCell ref="F141:M141"/>
    <mergeCell ref="C142:D142"/>
    <mergeCell ref="F142:M142"/>
    <mergeCell ref="C145:D145"/>
    <mergeCell ref="E145:I145"/>
    <mergeCell ref="J145:K145"/>
    <mergeCell ref="L145:M145"/>
    <mergeCell ref="C165:D165"/>
    <mergeCell ref="E165:M165"/>
    <mergeCell ref="C166:D166"/>
    <mergeCell ref="F166:M166"/>
    <mergeCell ref="C167:D168"/>
    <mergeCell ref="L167:M167"/>
    <mergeCell ref="L168:M168"/>
    <mergeCell ref="C160:D160"/>
    <mergeCell ref="F160:M160"/>
    <mergeCell ref="C161:D161"/>
    <mergeCell ref="F161:M161"/>
    <mergeCell ref="C164:D164"/>
    <mergeCell ref="E164:I164"/>
    <mergeCell ref="J164:K164"/>
    <mergeCell ref="L164:M164"/>
    <mergeCell ref="C157:D157"/>
    <mergeCell ref="E157:M157"/>
    <mergeCell ref="C158:D158"/>
    <mergeCell ref="F158:M158"/>
    <mergeCell ref="C159:D159"/>
    <mergeCell ref="F159:M159"/>
    <mergeCell ref="C179:D179"/>
    <mergeCell ref="F179:M179"/>
    <mergeCell ref="C180:D180"/>
    <mergeCell ref="F180:M180"/>
    <mergeCell ref="C183:D183"/>
    <mergeCell ref="E183:I183"/>
    <mergeCell ref="J183:K183"/>
    <mergeCell ref="L183:M183"/>
    <mergeCell ref="C176:D176"/>
    <mergeCell ref="E176:M176"/>
    <mergeCell ref="C177:D177"/>
    <mergeCell ref="F177:M177"/>
    <mergeCell ref="C178:D178"/>
    <mergeCell ref="F178:M178"/>
    <mergeCell ref="C169:D171"/>
    <mergeCell ref="F169:M169"/>
    <mergeCell ref="F170:M170"/>
    <mergeCell ref="F171:M171"/>
    <mergeCell ref="C172:D175"/>
    <mergeCell ref="F172:M172"/>
    <mergeCell ref="F173:M173"/>
    <mergeCell ref="F174:M174"/>
    <mergeCell ref="F175:M175"/>
    <mergeCell ref="C195:D195"/>
    <mergeCell ref="E195:M195"/>
    <mergeCell ref="C196:D196"/>
    <mergeCell ref="F196:M196"/>
    <mergeCell ref="C197:D197"/>
    <mergeCell ref="F197:M197"/>
    <mergeCell ref="C188:D190"/>
    <mergeCell ref="F188:M188"/>
    <mergeCell ref="F189:M189"/>
    <mergeCell ref="F190:M190"/>
    <mergeCell ref="C191:D194"/>
    <mergeCell ref="F191:M191"/>
    <mergeCell ref="F192:M192"/>
    <mergeCell ref="F193:M193"/>
    <mergeCell ref="F194:M194"/>
    <mergeCell ref="C184:D184"/>
    <mergeCell ref="E184:M184"/>
    <mergeCell ref="C185:D185"/>
    <mergeCell ref="F185:M185"/>
    <mergeCell ref="C186:D187"/>
    <mergeCell ref="L186:M186"/>
    <mergeCell ref="L187:M187"/>
    <mergeCell ref="C207:D209"/>
    <mergeCell ref="F207:M207"/>
    <mergeCell ref="F208:M208"/>
    <mergeCell ref="F209:M209"/>
    <mergeCell ref="C210:D213"/>
    <mergeCell ref="F210:M210"/>
    <mergeCell ref="F211:M211"/>
    <mergeCell ref="F212:M212"/>
    <mergeCell ref="F213:M213"/>
    <mergeCell ref="C203:D203"/>
    <mergeCell ref="E203:M203"/>
    <mergeCell ref="C204:D204"/>
    <mergeCell ref="F204:M204"/>
    <mergeCell ref="C205:D206"/>
    <mergeCell ref="L205:M205"/>
    <mergeCell ref="L206:M206"/>
    <mergeCell ref="C198:D198"/>
    <mergeCell ref="F198:M198"/>
    <mergeCell ref="C199:D199"/>
    <mergeCell ref="F199:M199"/>
    <mergeCell ref="C202:D202"/>
    <mergeCell ref="E202:I202"/>
    <mergeCell ref="J202:K202"/>
    <mergeCell ref="L202:M202"/>
    <mergeCell ref="C222:D222"/>
    <mergeCell ref="E222:M222"/>
    <mergeCell ref="C223:D223"/>
    <mergeCell ref="F223:M223"/>
    <mergeCell ref="C224:D225"/>
    <mergeCell ref="L224:M224"/>
    <mergeCell ref="L225:M225"/>
    <mergeCell ref="C217:D217"/>
    <mergeCell ref="F217:M217"/>
    <mergeCell ref="C218:D218"/>
    <mergeCell ref="F218:M218"/>
    <mergeCell ref="C221:D221"/>
    <mergeCell ref="E221:I221"/>
    <mergeCell ref="J221:K221"/>
    <mergeCell ref="L221:M221"/>
    <mergeCell ref="C214:D214"/>
    <mergeCell ref="E214:M214"/>
    <mergeCell ref="C215:D215"/>
    <mergeCell ref="F215:M215"/>
    <mergeCell ref="C216:D216"/>
    <mergeCell ref="F216:M216"/>
    <mergeCell ref="C236:D236"/>
    <mergeCell ref="F236:M236"/>
    <mergeCell ref="C237:D237"/>
    <mergeCell ref="F237:M237"/>
    <mergeCell ref="C240:D240"/>
    <mergeCell ref="E240:I240"/>
    <mergeCell ref="J240:K240"/>
    <mergeCell ref="L240:M240"/>
    <mergeCell ref="C233:D233"/>
    <mergeCell ref="E233:M233"/>
    <mergeCell ref="C234:D234"/>
    <mergeCell ref="F234:M234"/>
    <mergeCell ref="C235:D235"/>
    <mergeCell ref="F235:M235"/>
    <mergeCell ref="C226:D228"/>
    <mergeCell ref="F226:M226"/>
    <mergeCell ref="F227:M227"/>
    <mergeCell ref="F228:M228"/>
    <mergeCell ref="C229:D232"/>
    <mergeCell ref="F229:M229"/>
    <mergeCell ref="F230:M230"/>
    <mergeCell ref="F231:M231"/>
    <mergeCell ref="F232:M232"/>
    <mergeCell ref="C252:D252"/>
    <mergeCell ref="E252:M252"/>
    <mergeCell ref="C253:D253"/>
    <mergeCell ref="F253:M253"/>
    <mergeCell ref="C254:D254"/>
    <mergeCell ref="F254:M254"/>
    <mergeCell ref="C245:D247"/>
    <mergeCell ref="F245:M245"/>
    <mergeCell ref="F246:M246"/>
    <mergeCell ref="F247:M247"/>
    <mergeCell ref="C248:D251"/>
    <mergeCell ref="F248:M248"/>
    <mergeCell ref="F249:M249"/>
    <mergeCell ref="F250:M250"/>
    <mergeCell ref="F251:M251"/>
    <mergeCell ref="C241:D241"/>
    <mergeCell ref="E241:M241"/>
    <mergeCell ref="C242:D242"/>
    <mergeCell ref="F242:M242"/>
    <mergeCell ref="C243:D244"/>
    <mergeCell ref="L243:M243"/>
    <mergeCell ref="L244:M244"/>
    <mergeCell ref="C264:D266"/>
    <mergeCell ref="F264:M264"/>
    <mergeCell ref="F265:M265"/>
    <mergeCell ref="F266:M266"/>
    <mergeCell ref="C267:D270"/>
    <mergeCell ref="F267:M267"/>
    <mergeCell ref="F268:M268"/>
    <mergeCell ref="F269:M269"/>
    <mergeCell ref="F270:M270"/>
    <mergeCell ref="C260:D260"/>
    <mergeCell ref="E260:M260"/>
    <mergeCell ref="C261:D261"/>
    <mergeCell ref="F261:M261"/>
    <mergeCell ref="C262:D263"/>
    <mergeCell ref="L262:M262"/>
    <mergeCell ref="L263:M263"/>
    <mergeCell ref="C255:D255"/>
    <mergeCell ref="F255:M255"/>
    <mergeCell ref="C256:D256"/>
    <mergeCell ref="F256:M256"/>
    <mergeCell ref="C259:D259"/>
    <mergeCell ref="E259:I259"/>
    <mergeCell ref="J259:K259"/>
    <mergeCell ref="L259:M259"/>
    <mergeCell ref="C279:D279"/>
    <mergeCell ref="E279:M279"/>
    <mergeCell ref="C280:D280"/>
    <mergeCell ref="F280:M280"/>
    <mergeCell ref="C281:D282"/>
    <mergeCell ref="L281:M281"/>
    <mergeCell ref="L282:M282"/>
    <mergeCell ref="C274:D274"/>
    <mergeCell ref="F274:M274"/>
    <mergeCell ref="C275:D275"/>
    <mergeCell ref="F275:M275"/>
    <mergeCell ref="C278:D278"/>
    <mergeCell ref="E278:I278"/>
    <mergeCell ref="J278:K278"/>
    <mergeCell ref="L278:M278"/>
    <mergeCell ref="C271:D271"/>
    <mergeCell ref="E271:M271"/>
    <mergeCell ref="C272:D272"/>
    <mergeCell ref="F272:M272"/>
    <mergeCell ref="C273:D273"/>
    <mergeCell ref="F273:M273"/>
    <mergeCell ref="C293:D293"/>
    <mergeCell ref="F293:M293"/>
    <mergeCell ref="C294:D294"/>
    <mergeCell ref="F294:M294"/>
    <mergeCell ref="C297:D297"/>
    <mergeCell ref="E297:I297"/>
    <mergeCell ref="J297:K297"/>
    <mergeCell ref="L297:M297"/>
    <mergeCell ref="C290:D290"/>
    <mergeCell ref="E290:M290"/>
    <mergeCell ref="C291:D291"/>
    <mergeCell ref="F291:M291"/>
    <mergeCell ref="C292:D292"/>
    <mergeCell ref="F292:M292"/>
    <mergeCell ref="C283:D285"/>
    <mergeCell ref="F283:M283"/>
    <mergeCell ref="F284:M284"/>
    <mergeCell ref="F285:M285"/>
    <mergeCell ref="C286:D289"/>
    <mergeCell ref="F286:M286"/>
    <mergeCell ref="F287:M287"/>
    <mergeCell ref="F288:M288"/>
    <mergeCell ref="F289:M289"/>
    <mergeCell ref="C309:D309"/>
    <mergeCell ref="E309:M309"/>
    <mergeCell ref="C310:D310"/>
    <mergeCell ref="F310:M310"/>
    <mergeCell ref="C311:D311"/>
    <mergeCell ref="F311:M311"/>
    <mergeCell ref="C302:D304"/>
    <mergeCell ref="F302:M302"/>
    <mergeCell ref="F303:M303"/>
    <mergeCell ref="F304:M304"/>
    <mergeCell ref="C305:D308"/>
    <mergeCell ref="F305:M305"/>
    <mergeCell ref="F306:M306"/>
    <mergeCell ref="F307:M307"/>
    <mergeCell ref="F308:M308"/>
    <mergeCell ref="C298:D298"/>
    <mergeCell ref="E298:M298"/>
    <mergeCell ref="C299:D299"/>
    <mergeCell ref="F299:M299"/>
    <mergeCell ref="C300:D301"/>
    <mergeCell ref="L300:M300"/>
    <mergeCell ref="L301:M301"/>
    <mergeCell ref="C321:D323"/>
    <mergeCell ref="F321:M321"/>
    <mergeCell ref="F322:M322"/>
    <mergeCell ref="F323:M323"/>
    <mergeCell ref="C324:D327"/>
    <mergeCell ref="F324:M324"/>
    <mergeCell ref="F325:M325"/>
    <mergeCell ref="F326:M326"/>
    <mergeCell ref="F327:M327"/>
    <mergeCell ref="C317:D317"/>
    <mergeCell ref="E317:M317"/>
    <mergeCell ref="C318:D318"/>
    <mergeCell ref="F318:M318"/>
    <mergeCell ref="C319:D320"/>
    <mergeCell ref="L319:M319"/>
    <mergeCell ref="L320:M320"/>
    <mergeCell ref="C312:D312"/>
    <mergeCell ref="F312:M312"/>
    <mergeCell ref="C313:D313"/>
    <mergeCell ref="F313:M313"/>
    <mergeCell ref="C316:D316"/>
    <mergeCell ref="E316:I316"/>
    <mergeCell ref="J316:K316"/>
    <mergeCell ref="L316:M316"/>
    <mergeCell ref="C336:D336"/>
    <mergeCell ref="E336:M336"/>
    <mergeCell ref="C337:D337"/>
    <mergeCell ref="F337:M337"/>
    <mergeCell ref="C338:D339"/>
    <mergeCell ref="L338:M338"/>
    <mergeCell ref="L339:M339"/>
    <mergeCell ref="C331:D331"/>
    <mergeCell ref="F331:M331"/>
    <mergeCell ref="C332:D332"/>
    <mergeCell ref="F332:M332"/>
    <mergeCell ref="C335:D335"/>
    <mergeCell ref="E335:I335"/>
    <mergeCell ref="J335:K335"/>
    <mergeCell ref="L335:M335"/>
    <mergeCell ref="C328:D328"/>
    <mergeCell ref="E328:M328"/>
    <mergeCell ref="C329:D329"/>
    <mergeCell ref="F329:M329"/>
    <mergeCell ref="C330:D330"/>
    <mergeCell ref="F330:M330"/>
    <mergeCell ref="C350:D350"/>
    <mergeCell ref="F350:M350"/>
    <mergeCell ref="C351:D351"/>
    <mergeCell ref="F351:M351"/>
    <mergeCell ref="C354:D354"/>
    <mergeCell ref="E354:I354"/>
    <mergeCell ref="J354:K354"/>
    <mergeCell ref="L354:M354"/>
    <mergeCell ref="C347:D347"/>
    <mergeCell ref="E347:M347"/>
    <mergeCell ref="C348:D348"/>
    <mergeCell ref="F348:M348"/>
    <mergeCell ref="C349:D349"/>
    <mergeCell ref="F349:M349"/>
    <mergeCell ref="C340:D342"/>
    <mergeCell ref="F340:M340"/>
    <mergeCell ref="F341:M341"/>
    <mergeCell ref="F342:M342"/>
    <mergeCell ref="C343:D346"/>
    <mergeCell ref="F343:M343"/>
    <mergeCell ref="F344:M344"/>
    <mergeCell ref="F345:M345"/>
    <mergeCell ref="F346:M346"/>
    <mergeCell ref="C366:D366"/>
    <mergeCell ref="E366:M366"/>
    <mergeCell ref="C367:D367"/>
    <mergeCell ref="F367:M367"/>
    <mergeCell ref="C368:D368"/>
    <mergeCell ref="F368:M368"/>
    <mergeCell ref="C359:D361"/>
    <mergeCell ref="F359:M359"/>
    <mergeCell ref="F360:M360"/>
    <mergeCell ref="F361:M361"/>
    <mergeCell ref="C362:D365"/>
    <mergeCell ref="F362:M362"/>
    <mergeCell ref="F363:M363"/>
    <mergeCell ref="F364:M364"/>
    <mergeCell ref="F365:M365"/>
    <mergeCell ref="C355:D355"/>
    <mergeCell ref="E355:M355"/>
    <mergeCell ref="C356:D356"/>
    <mergeCell ref="F356:M356"/>
    <mergeCell ref="C357:D358"/>
    <mergeCell ref="L357:M357"/>
    <mergeCell ref="L358:M358"/>
    <mergeCell ref="C378:D380"/>
    <mergeCell ref="F378:M378"/>
    <mergeCell ref="F379:M379"/>
    <mergeCell ref="F380:M380"/>
    <mergeCell ref="C381:D384"/>
    <mergeCell ref="F381:M381"/>
    <mergeCell ref="F382:M382"/>
    <mergeCell ref="F383:M383"/>
    <mergeCell ref="F384:M384"/>
    <mergeCell ref="C374:D374"/>
    <mergeCell ref="E374:M374"/>
    <mergeCell ref="C375:D375"/>
    <mergeCell ref="F375:M375"/>
    <mergeCell ref="C376:D377"/>
    <mergeCell ref="L376:M376"/>
    <mergeCell ref="L377:M377"/>
    <mergeCell ref="C369:D369"/>
    <mergeCell ref="F369:M369"/>
    <mergeCell ref="C370:D370"/>
    <mergeCell ref="F370:M370"/>
    <mergeCell ref="C373:D373"/>
    <mergeCell ref="E373:I373"/>
    <mergeCell ref="J373:K373"/>
    <mergeCell ref="L373:M373"/>
    <mergeCell ref="C393:D393"/>
    <mergeCell ref="E393:M393"/>
    <mergeCell ref="C394:D394"/>
    <mergeCell ref="F394:M394"/>
    <mergeCell ref="C395:D396"/>
    <mergeCell ref="L395:M395"/>
    <mergeCell ref="L396:M396"/>
    <mergeCell ref="C388:D388"/>
    <mergeCell ref="F388:M388"/>
    <mergeCell ref="C389:D389"/>
    <mergeCell ref="F389:M389"/>
    <mergeCell ref="C392:D392"/>
    <mergeCell ref="E392:I392"/>
    <mergeCell ref="J392:K392"/>
    <mergeCell ref="L392:M392"/>
    <mergeCell ref="C385:D385"/>
    <mergeCell ref="E385:M385"/>
    <mergeCell ref="C386:D386"/>
    <mergeCell ref="F386:M386"/>
    <mergeCell ref="C387:D387"/>
    <mergeCell ref="F387:M387"/>
    <mergeCell ref="C407:D407"/>
    <mergeCell ref="F407:M407"/>
    <mergeCell ref="C408:D408"/>
    <mergeCell ref="F408:M408"/>
    <mergeCell ref="C411:D411"/>
    <mergeCell ref="E411:I411"/>
    <mergeCell ref="J411:K411"/>
    <mergeCell ref="L411:M411"/>
    <mergeCell ref="C404:D404"/>
    <mergeCell ref="E404:M404"/>
    <mergeCell ref="C405:D405"/>
    <mergeCell ref="F405:M405"/>
    <mergeCell ref="C406:D406"/>
    <mergeCell ref="F406:M406"/>
    <mergeCell ref="C397:D399"/>
    <mergeCell ref="F397:M397"/>
    <mergeCell ref="F398:M398"/>
    <mergeCell ref="F399:M399"/>
    <mergeCell ref="C400:D403"/>
    <mergeCell ref="F400:M400"/>
    <mergeCell ref="F401:M401"/>
    <mergeCell ref="F402:M402"/>
    <mergeCell ref="F403:M403"/>
    <mergeCell ref="C423:D423"/>
    <mergeCell ref="E423:M423"/>
    <mergeCell ref="C424:D424"/>
    <mergeCell ref="F424:M424"/>
    <mergeCell ref="C425:D425"/>
    <mergeCell ref="F425:M425"/>
    <mergeCell ref="C416:D418"/>
    <mergeCell ref="F416:M416"/>
    <mergeCell ref="F417:M417"/>
    <mergeCell ref="F418:M418"/>
    <mergeCell ref="C419:D422"/>
    <mergeCell ref="F419:M419"/>
    <mergeCell ref="F420:M420"/>
    <mergeCell ref="F421:M421"/>
    <mergeCell ref="F422:M422"/>
    <mergeCell ref="C412:D412"/>
    <mergeCell ref="E412:M412"/>
    <mergeCell ref="C413:D413"/>
    <mergeCell ref="F413:M413"/>
    <mergeCell ref="C414:D415"/>
    <mergeCell ref="L414:M414"/>
    <mergeCell ref="L415:M415"/>
    <mergeCell ref="C435:D437"/>
    <mergeCell ref="F435:M435"/>
    <mergeCell ref="F436:M436"/>
    <mergeCell ref="F437:M437"/>
    <mergeCell ref="C438:D441"/>
    <mergeCell ref="F438:M438"/>
    <mergeCell ref="F439:M439"/>
    <mergeCell ref="F440:M440"/>
    <mergeCell ref="F441:M441"/>
    <mergeCell ref="C431:D431"/>
    <mergeCell ref="E431:M431"/>
    <mergeCell ref="C432:D432"/>
    <mergeCell ref="F432:M432"/>
    <mergeCell ref="C433:D434"/>
    <mergeCell ref="L433:M433"/>
    <mergeCell ref="L434:M434"/>
    <mergeCell ref="C426:D426"/>
    <mergeCell ref="F426:M426"/>
    <mergeCell ref="C427:D427"/>
    <mergeCell ref="F427:M427"/>
    <mergeCell ref="C430:D430"/>
    <mergeCell ref="E430:I430"/>
    <mergeCell ref="J430:K430"/>
    <mergeCell ref="L430:M430"/>
    <mergeCell ref="C450:D450"/>
    <mergeCell ref="E450:M450"/>
    <mergeCell ref="C451:D451"/>
    <mergeCell ref="F451:M451"/>
    <mergeCell ref="C452:D453"/>
    <mergeCell ref="L452:M452"/>
    <mergeCell ref="L453:M453"/>
    <mergeCell ref="C445:D445"/>
    <mergeCell ref="F445:M445"/>
    <mergeCell ref="C446:D446"/>
    <mergeCell ref="F446:M446"/>
    <mergeCell ref="C449:D449"/>
    <mergeCell ref="E449:I449"/>
    <mergeCell ref="J449:K449"/>
    <mergeCell ref="L449:M449"/>
    <mergeCell ref="C442:D442"/>
    <mergeCell ref="E442:M442"/>
    <mergeCell ref="C443:D443"/>
    <mergeCell ref="F443:M443"/>
    <mergeCell ref="C444:D444"/>
    <mergeCell ref="F444:M444"/>
    <mergeCell ref="C464:D464"/>
    <mergeCell ref="F464:M464"/>
    <mergeCell ref="C465:D465"/>
    <mergeCell ref="F465:M465"/>
    <mergeCell ref="C468:D468"/>
    <mergeCell ref="E468:I468"/>
    <mergeCell ref="J468:K468"/>
    <mergeCell ref="L468:M468"/>
    <mergeCell ref="C461:D461"/>
    <mergeCell ref="E461:M461"/>
    <mergeCell ref="C462:D462"/>
    <mergeCell ref="F462:M462"/>
    <mergeCell ref="C463:D463"/>
    <mergeCell ref="F463:M463"/>
    <mergeCell ref="C454:D456"/>
    <mergeCell ref="F454:M454"/>
    <mergeCell ref="F455:M455"/>
    <mergeCell ref="F456:M456"/>
    <mergeCell ref="C457:D460"/>
    <mergeCell ref="F457:M457"/>
    <mergeCell ref="F458:M458"/>
    <mergeCell ref="F459:M459"/>
    <mergeCell ref="F460:M460"/>
    <mergeCell ref="C480:D480"/>
    <mergeCell ref="E480:M480"/>
    <mergeCell ref="C481:D481"/>
    <mergeCell ref="F481:M481"/>
    <mergeCell ref="C482:D482"/>
    <mergeCell ref="F482:M482"/>
    <mergeCell ref="C473:D475"/>
    <mergeCell ref="F473:M473"/>
    <mergeCell ref="F474:M474"/>
    <mergeCell ref="F475:M475"/>
    <mergeCell ref="C476:D479"/>
    <mergeCell ref="F476:M476"/>
    <mergeCell ref="F477:M477"/>
    <mergeCell ref="F478:M478"/>
    <mergeCell ref="F479:M479"/>
    <mergeCell ref="C469:D469"/>
    <mergeCell ref="E469:M469"/>
    <mergeCell ref="C470:D470"/>
    <mergeCell ref="F470:M470"/>
    <mergeCell ref="C471:D472"/>
    <mergeCell ref="L471:M471"/>
    <mergeCell ref="L472:M472"/>
    <mergeCell ref="C492:D494"/>
    <mergeCell ref="F492:M492"/>
    <mergeCell ref="F493:M493"/>
    <mergeCell ref="F494:M494"/>
    <mergeCell ref="C495:D498"/>
    <mergeCell ref="F495:M495"/>
    <mergeCell ref="F496:M496"/>
    <mergeCell ref="F497:M497"/>
    <mergeCell ref="F498:M498"/>
    <mergeCell ref="C488:D488"/>
    <mergeCell ref="E488:M488"/>
    <mergeCell ref="C489:D489"/>
    <mergeCell ref="F489:M489"/>
    <mergeCell ref="C490:D491"/>
    <mergeCell ref="L490:M490"/>
    <mergeCell ref="L491:M491"/>
    <mergeCell ref="C483:D483"/>
    <mergeCell ref="F483:M483"/>
    <mergeCell ref="C484:D484"/>
    <mergeCell ref="F484:M484"/>
    <mergeCell ref="C487:D487"/>
    <mergeCell ref="E487:I487"/>
    <mergeCell ref="J487:K487"/>
    <mergeCell ref="L487:M487"/>
    <mergeCell ref="C507:D507"/>
    <mergeCell ref="E507:M507"/>
    <mergeCell ref="C508:D508"/>
    <mergeCell ref="F508:M508"/>
    <mergeCell ref="C509:D510"/>
    <mergeCell ref="L509:M509"/>
    <mergeCell ref="L510:M510"/>
    <mergeCell ref="C502:D502"/>
    <mergeCell ref="F502:M502"/>
    <mergeCell ref="C503:D503"/>
    <mergeCell ref="F503:M503"/>
    <mergeCell ref="C506:D506"/>
    <mergeCell ref="E506:I506"/>
    <mergeCell ref="J506:K506"/>
    <mergeCell ref="L506:M506"/>
    <mergeCell ref="C499:D499"/>
    <mergeCell ref="E499:M499"/>
    <mergeCell ref="C500:D500"/>
    <mergeCell ref="F500:M500"/>
    <mergeCell ref="C501:D501"/>
    <mergeCell ref="F501:M501"/>
    <mergeCell ref="C521:D521"/>
    <mergeCell ref="F521:M521"/>
    <mergeCell ref="C522:D522"/>
    <mergeCell ref="F522:M522"/>
    <mergeCell ref="C525:D525"/>
    <mergeCell ref="E525:I525"/>
    <mergeCell ref="J525:K525"/>
    <mergeCell ref="L525:M525"/>
    <mergeCell ref="C518:D518"/>
    <mergeCell ref="E518:M518"/>
    <mergeCell ref="C519:D519"/>
    <mergeCell ref="F519:M519"/>
    <mergeCell ref="C520:D520"/>
    <mergeCell ref="F520:M520"/>
    <mergeCell ref="C511:D513"/>
    <mergeCell ref="F511:M511"/>
    <mergeCell ref="F512:M512"/>
    <mergeCell ref="F513:M513"/>
    <mergeCell ref="C514:D517"/>
    <mergeCell ref="F514:M514"/>
    <mergeCell ref="F515:M515"/>
    <mergeCell ref="F516:M516"/>
    <mergeCell ref="F517:M517"/>
    <mergeCell ref="C537:D537"/>
    <mergeCell ref="E537:M537"/>
    <mergeCell ref="C538:D538"/>
    <mergeCell ref="F538:M538"/>
    <mergeCell ref="C539:D539"/>
    <mergeCell ref="F539:M539"/>
    <mergeCell ref="C530:D532"/>
    <mergeCell ref="F530:M530"/>
    <mergeCell ref="F531:M531"/>
    <mergeCell ref="F532:M532"/>
    <mergeCell ref="C533:D536"/>
    <mergeCell ref="F533:M533"/>
    <mergeCell ref="F534:M534"/>
    <mergeCell ref="F535:M535"/>
    <mergeCell ref="F536:M536"/>
    <mergeCell ref="C526:D526"/>
    <mergeCell ref="E526:M526"/>
    <mergeCell ref="C527:D527"/>
    <mergeCell ref="F527:M527"/>
    <mergeCell ref="C528:D529"/>
    <mergeCell ref="L528:M528"/>
    <mergeCell ref="L529:M529"/>
    <mergeCell ref="C549:D551"/>
    <mergeCell ref="F549:M549"/>
    <mergeCell ref="F550:M550"/>
    <mergeCell ref="F551:M551"/>
    <mergeCell ref="C552:D555"/>
    <mergeCell ref="F552:M552"/>
    <mergeCell ref="F553:M553"/>
    <mergeCell ref="F554:M554"/>
    <mergeCell ref="F555:M555"/>
    <mergeCell ref="C545:D545"/>
    <mergeCell ref="E545:M545"/>
    <mergeCell ref="C546:D546"/>
    <mergeCell ref="F546:M546"/>
    <mergeCell ref="C547:D548"/>
    <mergeCell ref="L547:M547"/>
    <mergeCell ref="L548:M548"/>
    <mergeCell ref="C540:D540"/>
    <mergeCell ref="F540:M540"/>
    <mergeCell ref="C541:D541"/>
    <mergeCell ref="F541:M541"/>
    <mergeCell ref="C544:D544"/>
    <mergeCell ref="E544:I544"/>
    <mergeCell ref="J544:K544"/>
    <mergeCell ref="L544:M544"/>
    <mergeCell ref="C564:D564"/>
    <mergeCell ref="E564:M564"/>
    <mergeCell ref="C565:D565"/>
    <mergeCell ref="F565:M565"/>
    <mergeCell ref="C566:D567"/>
    <mergeCell ref="L566:M566"/>
    <mergeCell ref="L567:M567"/>
    <mergeCell ref="C559:D559"/>
    <mergeCell ref="F559:M559"/>
    <mergeCell ref="C560:D560"/>
    <mergeCell ref="F560:M560"/>
    <mergeCell ref="C563:D563"/>
    <mergeCell ref="E563:I563"/>
    <mergeCell ref="J563:K563"/>
    <mergeCell ref="L563:M563"/>
    <mergeCell ref="C556:D556"/>
    <mergeCell ref="E556:M556"/>
    <mergeCell ref="C557:D557"/>
    <mergeCell ref="F557:M557"/>
    <mergeCell ref="C558:D558"/>
    <mergeCell ref="F558:M558"/>
    <mergeCell ref="C578:D578"/>
    <mergeCell ref="F578:M578"/>
    <mergeCell ref="C579:D579"/>
    <mergeCell ref="F579:M579"/>
    <mergeCell ref="C582:D582"/>
    <mergeCell ref="E582:I582"/>
    <mergeCell ref="J582:K582"/>
    <mergeCell ref="L582:M582"/>
    <mergeCell ref="C575:D575"/>
    <mergeCell ref="E575:M575"/>
    <mergeCell ref="C576:D576"/>
    <mergeCell ref="F576:M576"/>
    <mergeCell ref="C577:D577"/>
    <mergeCell ref="F577:M577"/>
    <mergeCell ref="C568:D570"/>
    <mergeCell ref="F568:M568"/>
    <mergeCell ref="F569:M569"/>
    <mergeCell ref="F570:M570"/>
    <mergeCell ref="C571:D574"/>
    <mergeCell ref="F571:M571"/>
    <mergeCell ref="F572:M572"/>
    <mergeCell ref="F573:M573"/>
    <mergeCell ref="F574:M574"/>
    <mergeCell ref="C594:D594"/>
    <mergeCell ref="E594:M594"/>
    <mergeCell ref="C595:D595"/>
    <mergeCell ref="F595:M595"/>
    <mergeCell ref="C596:D596"/>
    <mergeCell ref="F596:M596"/>
    <mergeCell ref="C587:D589"/>
    <mergeCell ref="F587:M587"/>
    <mergeCell ref="F588:M588"/>
    <mergeCell ref="F589:M589"/>
    <mergeCell ref="C590:D593"/>
    <mergeCell ref="F590:M590"/>
    <mergeCell ref="F591:M591"/>
    <mergeCell ref="F592:M592"/>
    <mergeCell ref="F593:M593"/>
    <mergeCell ref="C583:D583"/>
    <mergeCell ref="E583:M583"/>
    <mergeCell ref="C584:D584"/>
    <mergeCell ref="F584:M584"/>
    <mergeCell ref="C585:D586"/>
    <mergeCell ref="L585:M585"/>
    <mergeCell ref="L586:M586"/>
    <mergeCell ref="C606:D608"/>
    <mergeCell ref="F606:M606"/>
    <mergeCell ref="F607:M607"/>
    <mergeCell ref="F608:M608"/>
    <mergeCell ref="C609:D612"/>
    <mergeCell ref="F609:M609"/>
    <mergeCell ref="F610:M610"/>
    <mergeCell ref="F611:M611"/>
    <mergeCell ref="F612:M612"/>
    <mergeCell ref="C602:D602"/>
    <mergeCell ref="E602:M602"/>
    <mergeCell ref="C603:D603"/>
    <mergeCell ref="F603:M603"/>
    <mergeCell ref="C604:D605"/>
    <mergeCell ref="L604:M604"/>
    <mergeCell ref="L605:M605"/>
    <mergeCell ref="C597:D597"/>
    <mergeCell ref="F597:M597"/>
    <mergeCell ref="C598:D598"/>
    <mergeCell ref="F598:M598"/>
    <mergeCell ref="C601:D601"/>
    <mergeCell ref="E601:I601"/>
    <mergeCell ref="J601:K601"/>
    <mergeCell ref="L601:M601"/>
    <mergeCell ref="C621:D621"/>
    <mergeCell ref="E621:M621"/>
    <mergeCell ref="C622:D622"/>
    <mergeCell ref="F622:M622"/>
    <mergeCell ref="C623:D624"/>
    <mergeCell ref="L623:M623"/>
    <mergeCell ref="L624:M624"/>
    <mergeCell ref="C616:D616"/>
    <mergeCell ref="F616:M616"/>
    <mergeCell ref="C617:D617"/>
    <mergeCell ref="F617:M617"/>
    <mergeCell ref="C620:D620"/>
    <mergeCell ref="E620:I620"/>
    <mergeCell ref="J620:K620"/>
    <mergeCell ref="L620:M620"/>
    <mergeCell ref="C613:D613"/>
    <mergeCell ref="E613:M613"/>
    <mergeCell ref="C614:D614"/>
    <mergeCell ref="F614:M614"/>
    <mergeCell ref="C615:D615"/>
    <mergeCell ref="F615:M615"/>
    <mergeCell ref="C635:D635"/>
    <mergeCell ref="F635:M635"/>
    <mergeCell ref="C636:D636"/>
    <mergeCell ref="F636:M636"/>
    <mergeCell ref="C639:D639"/>
    <mergeCell ref="E639:I639"/>
    <mergeCell ref="J639:K639"/>
    <mergeCell ref="L639:M639"/>
    <mergeCell ref="C632:D632"/>
    <mergeCell ref="E632:M632"/>
    <mergeCell ref="C633:D633"/>
    <mergeCell ref="F633:M633"/>
    <mergeCell ref="C634:D634"/>
    <mergeCell ref="F634:M634"/>
    <mergeCell ref="C625:D627"/>
    <mergeCell ref="F625:M625"/>
    <mergeCell ref="F626:M626"/>
    <mergeCell ref="F627:M627"/>
    <mergeCell ref="C628:D631"/>
    <mergeCell ref="F628:M628"/>
    <mergeCell ref="F629:M629"/>
    <mergeCell ref="F630:M630"/>
    <mergeCell ref="F631:M631"/>
    <mergeCell ref="C651:D651"/>
    <mergeCell ref="E651:M651"/>
    <mergeCell ref="C652:D652"/>
    <mergeCell ref="F652:M652"/>
    <mergeCell ref="C653:D653"/>
    <mergeCell ref="F653:M653"/>
    <mergeCell ref="C644:D646"/>
    <mergeCell ref="F644:M644"/>
    <mergeCell ref="F645:M645"/>
    <mergeCell ref="F646:M646"/>
    <mergeCell ref="C647:D650"/>
    <mergeCell ref="F647:M647"/>
    <mergeCell ref="F648:M648"/>
    <mergeCell ref="F649:M649"/>
    <mergeCell ref="F650:M650"/>
    <mergeCell ref="C640:D640"/>
    <mergeCell ref="E640:M640"/>
    <mergeCell ref="C641:D641"/>
    <mergeCell ref="F641:M641"/>
    <mergeCell ref="C642:D643"/>
    <mergeCell ref="L642:M642"/>
    <mergeCell ref="L643:M643"/>
    <mergeCell ref="C663:D665"/>
    <mergeCell ref="F663:M663"/>
    <mergeCell ref="F664:M664"/>
    <mergeCell ref="F665:M665"/>
    <mergeCell ref="C666:D669"/>
    <mergeCell ref="F666:M666"/>
    <mergeCell ref="F667:M667"/>
    <mergeCell ref="F668:M668"/>
    <mergeCell ref="F669:M669"/>
    <mergeCell ref="C659:D659"/>
    <mergeCell ref="E659:M659"/>
    <mergeCell ref="C660:D660"/>
    <mergeCell ref="F660:M660"/>
    <mergeCell ref="C661:D662"/>
    <mergeCell ref="L661:M661"/>
    <mergeCell ref="L662:M662"/>
    <mergeCell ref="C654:D654"/>
    <mergeCell ref="F654:M654"/>
    <mergeCell ref="C655:D655"/>
    <mergeCell ref="F655:M655"/>
    <mergeCell ref="C658:D658"/>
    <mergeCell ref="E658:I658"/>
    <mergeCell ref="J658:K658"/>
    <mergeCell ref="L658:M658"/>
    <mergeCell ref="C678:D678"/>
    <mergeCell ref="E678:M678"/>
    <mergeCell ref="C679:D679"/>
    <mergeCell ref="F679:M679"/>
    <mergeCell ref="C680:D681"/>
    <mergeCell ref="L680:M680"/>
    <mergeCell ref="L681:M681"/>
    <mergeCell ref="C673:D673"/>
    <mergeCell ref="F673:M673"/>
    <mergeCell ref="C674:D674"/>
    <mergeCell ref="F674:M674"/>
    <mergeCell ref="C677:D677"/>
    <mergeCell ref="E677:I677"/>
    <mergeCell ref="J677:K677"/>
    <mergeCell ref="L677:M677"/>
    <mergeCell ref="C670:D670"/>
    <mergeCell ref="E670:M670"/>
    <mergeCell ref="C671:D671"/>
    <mergeCell ref="F671:M671"/>
    <mergeCell ref="C672:D672"/>
    <mergeCell ref="F672:M672"/>
    <mergeCell ref="C692:D692"/>
    <mergeCell ref="F692:M692"/>
    <mergeCell ref="C693:D693"/>
    <mergeCell ref="F693:M693"/>
    <mergeCell ref="C696:D696"/>
    <mergeCell ref="E696:I696"/>
    <mergeCell ref="J696:K696"/>
    <mergeCell ref="L696:M696"/>
    <mergeCell ref="C689:D689"/>
    <mergeCell ref="E689:M689"/>
    <mergeCell ref="C690:D690"/>
    <mergeCell ref="F690:M690"/>
    <mergeCell ref="C691:D691"/>
    <mergeCell ref="F691:M691"/>
    <mergeCell ref="C682:D684"/>
    <mergeCell ref="F682:M682"/>
    <mergeCell ref="F683:M683"/>
    <mergeCell ref="F684:M684"/>
    <mergeCell ref="C685:D688"/>
    <mergeCell ref="F685:M685"/>
    <mergeCell ref="F686:M686"/>
    <mergeCell ref="F687:M687"/>
    <mergeCell ref="F688:M688"/>
    <mergeCell ref="C708:D708"/>
    <mergeCell ref="E708:M708"/>
    <mergeCell ref="C709:D709"/>
    <mergeCell ref="F709:M709"/>
    <mergeCell ref="C710:D710"/>
    <mergeCell ref="F710:M710"/>
    <mergeCell ref="C701:D703"/>
    <mergeCell ref="F701:M701"/>
    <mergeCell ref="F702:M702"/>
    <mergeCell ref="F703:M703"/>
    <mergeCell ref="C704:D707"/>
    <mergeCell ref="F704:M704"/>
    <mergeCell ref="F705:M705"/>
    <mergeCell ref="F706:M706"/>
    <mergeCell ref="F707:M707"/>
    <mergeCell ref="C697:D697"/>
    <mergeCell ref="E697:M697"/>
    <mergeCell ref="C698:D698"/>
    <mergeCell ref="F698:M698"/>
    <mergeCell ref="C699:D700"/>
    <mergeCell ref="L699:M699"/>
    <mergeCell ref="L700:M700"/>
    <mergeCell ref="C720:D722"/>
    <mergeCell ref="F720:M720"/>
    <mergeCell ref="F721:M721"/>
    <mergeCell ref="F722:M722"/>
    <mergeCell ref="C723:D726"/>
    <mergeCell ref="F723:M723"/>
    <mergeCell ref="F724:M724"/>
    <mergeCell ref="F725:M725"/>
    <mergeCell ref="F726:M726"/>
    <mergeCell ref="C716:D716"/>
    <mergeCell ref="E716:M716"/>
    <mergeCell ref="C717:D717"/>
    <mergeCell ref="F717:M717"/>
    <mergeCell ref="C718:D719"/>
    <mergeCell ref="L718:M718"/>
    <mergeCell ref="L719:M719"/>
    <mergeCell ref="C711:D711"/>
    <mergeCell ref="F711:M711"/>
    <mergeCell ref="C712:D712"/>
    <mergeCell ref="F712:M712"/>
    <mergeCell ref="C715:D715"/>
    <mergeCell ref="E715:I715"/>
    <mergeCell ref="J715:K715"/>
    <mergeCell ref="L715:M715"/>
    <mergeCell ref="C735:D735"/>
    <mergeCell ref="E735:M735"/>
    <mergeCell ref="C736:D736"/>
    <mergeCell ref="F736:M736"/>
    <mergeCell ref="C737:D738"/>
    <mergeCell ref="L737:M737"/>
    <mergeCell ref="L738:M738"/>
    <mergeCell ref="C730:D730"/>
    <mergeCell ref="F730:M730"/>
    <mergeCell ref="C731:D731"/>
    <mergeCell ref="F731:M731"/>
    <mergeCell ref="C734:D734"/>
    <mergeCell ref="E734:I734"/>
    <mergeCell ref="J734:K734"/>
    <mergeCell ref="L734:M734"/>
    <mergeCell ref="C727:D727"/>
    <mergeCell ref="E727:M727"/>
    <mergeCell ref="C728:D728"/>
    <mergeCell ref="F728:M728"/>
    <mergeCell ref="C729:D729"/>
    <mergeCell ref="F729:M729"/>
    <mergeCell ref="C749:D749"/>
    <mergeCell ref="F749:M749"/>
    <mergeCell ref="C750:D750"/>
    <mergeCell ref="F750:M750"/>
    <mergeCell ref="C753:D753"/>
    <mergeCell ref="E753:I753"/>
    <mergeCell ref="J753:K753"/>
    <mergeCell ref="L753:M753"/>
    <mergeCell ref="C746:D746"/>
    <mergeCell ref="E746:M746"/>
    <mergeCell ref="C747:D747"/>
    <mergeCell ref="F747:M747"/>
    <mergeCell ref="C748:D748"/>
    <mergeCell ref="F748:M748"/>
    <mergeCell ref="C739:D741"/>
    <mergeCell ref="F739:M739"/>
    <mergeCell ref="F740:M740"/>
    <mergeCell ref="F741:M741"/>
    <mergeCell ref="C742:D745"/>
    <mergeCell ref="F742:M742"/>
    <mergeCell ref="F743:M743"/>
    <mergeCell ref="F744:M744"/>
    <mergeCell ref="F745:M745"/>
    <mergeCell ref="C765:D765"/>
    <mergeCell ref="E765:M765"/>
    <mergeCell ref="C766:D766"/>
    <mergeCell ref="F766:M766"/>
    <mergeCell ref="C767:D767"/>
    <mergeCell ref="F767:M767"/>
    <mergeCell ref="C758:D760"/>
    <mergeCell ref="F758:M758"/>
    <mergeCell ref="F759:M759"/>
    <mergeCell ref="F760:M760"/>
    <mergeCell ref="C761:D764"/>
    <mergeCell ref="F761:M761"/>
    <mergeCell ref="F762:M762"/>
    <mergeCell ref="F763:M763"/>
    <mergeCell ref="F764:M764"/>
    <mergeCell ref="C754:D754"/>
    <mergeCell ref="E754:M754"/>
    <mergeCell ref="C755:D755"/>
    <mergeCell ref="F755:M755"/>
    <mergeCell ref="C756:D757"/>
    <mergeCell ref="L756:M756"/>
    <mergeCell ref="L757:M757"/>
    <mergeCell ref="C777:D779"/>
    <mergeCell ref="F777:M777"/>
    <mergeCell ref="F778:M778"/>
    <mergeCell ref="F779:M779"/>
    <mergeCell ref="C780:D783"/>
    <mergeCell ref="F780:M780"/>
    <mergeCell ref="F781:M781"/>
    <mergeCell ref="F782:M782"/>
    <mergeCell ref="F783:M783"/>
    <mergeCell ref="C773:D773"/>
    <mergeCell ref="E773:M773"/>
    <mergeCell ref="C774:D774"/>
    <mergeCell ref="F774:M774"/>
    <mergeCell ref="C775:D776"/>
    <mergeCell ref="L775:M775"/>
    <mergeCell ref="L776:M776"/>
    <mergeCell ref="C768:D768"/>
    <mergeCell ref="F768:M768"/>
    <mergeCell ref="C769:D769"/>
    <mergeCell ref="F769:M769"/>
    <mergeCell ref="C772:D772"/>
    <mergeCell ref="E772:I772"/>
    <mergeCell ref="J772:K772"/>
    <mergeCell ref="L772:M772"/>
    <mergeCell ref="C792:D792"/>
    <mergeCell ref="E792:M792"/>
    <mergeCell ref="C793:D793"/>
    <mergeCell ref="F793:M793"/>
    <mergeCell ref="C794:D795"/>
    <mergeCell ref="L794:M794"/>
    <mergeCell ref="L795:M795"/>
    <mergeCell ref="C787:D787"/>
    <mergeCell ref="F787:M787"/>
    <mergeCell ref="C788:D788"/>
    <mergeCell ref="F788:M788"/>
    <mergeCell ref="C791:D791"/>
    <mergeCell ref="E791:I791"/>
    <mergeCell ref="J791:K791"/>
    <mergeCell ref="L791:M791"/>
    <mergeCell ref="C784:D784"/>
    <mergeCell ref="E784:M784"/>
    <mergeCell ref="C785:D785"/>
    <mergeCell ref="F785:M785"/>
    <mergeCell ref="C786:D786"/>
    <mergeCell ref="F786:M786"/>
    <mergeCell ref="C806:D806"/>
    <mergeCell ref="F806:M806"/>
    <mergeCell ref="C807:D807"/>
    <mergeCell ref="F807:M807"/>
    <mergeCell ref="C810:D810"/>
    <mergeCell ref="E810:I810"/>
    <mergeCell ref="J810:K810"/>
    <mergeCell ref="L810:M810"/>
    <mergeCell ref="C803:D803"/>
    <mergeCell ref="E803:M803"/>
    <mergeCell ref="C804:D804"/>
    <mergeCell ref="F804:M804"/>
    <mergeCell ref="C805:D805"/>
    <mergeCell ref="F805:M805"/>
    <mergeCell ref="C796:D798"/>
    <mergeCell ref="F796:M796"/>
    <mergeCell ref="F797:M797"/>
    <mergeCell ref="F798:M798"/>
    <mergeCell ref="C799:D802"/>
    <mergeCell ref="F799:M799"/>
    <mergeCell ref="F800:M800"/>
    <mergeCell ref="F801:M801"/>
    <mergeCell ref="F802:M802"/>
    <mergeCell ref="C822:D822"/>
    <mergeCell ref="E822:M822"/>
    <mergeCell ref="C823:D823"/>
    <mergeCell ref="F823:M823"/>
    <mergeCell ref="C824:D824"/>
    <mergeCell ref="F824:M824"/>
    <mergeCell ref="C815:D817"/>
    <mergeCell ref="F815:M815"/>
    <mergeCell ref="F816:M816"/>
    <mergeCell ref="F817:M817"/>
    <mergeCell ref="C818:D821"/>
    <mergeCell ref="F818:M818"/>
    <mergeCell ref="F819:M819"/>
    <mergeCell ref="F820:M820"/>
    <mergeCell ref="F821:M821"/>
    <mergeCell ref="C811:D811"/>
    <mergeCell ref="E811:M811"/>
    <mergeCell ref="C812:D812"/>
    <mergeCell ref="F812:M812"/>
    <mergeCell ref="C813:D814"/>
    <mergeCell ref="L813:M813"/>
    <mergeCell ref="L814:M814"/>
    <mergeCell ref="C834:D836"/>
    <mergeCell ref="F834:M834"/>
    <mergeCell ref="F835:M835"/>
    <mergeCell ref="F836:M836"/>
    <mergeCell ref="C837:D840"/>
    <mergeCell ref="F837:M837"/>
    <mergeCell ref="F838:M838"/>
    <mergeCell ref="F839:M839"/>
    <mergeCell ref="F840:M840"/>
    <mergeCell ref="C830:D830"/>
    <mergeCell ref="E830:M830"/>
    <mergeCell ref="C831:D831"/>
    <mergeCell ref="F831:M831"/>
    <mergeCell ref="C832:D833"/>
    <mergeCell ref="L832:M832"/>
    <mergeCell ref="L833:M833"/>
    <mergeCell ref="C825:D825"/>
    <mergeCell ref="F825:M825"/>
    <mergeCell ref="C826:D826"/>
    <mergeCell ref="F826:M826"/>
    <mergeCell ref="C829:D829"/>
    <mergeCell ref="E829:I829"/>
    <mergeCell ref="J829:K829"/>
    <mergeCell ref="L829:M829"/>
    <mergeCell ref="C849:D849"/>
    <mergeCell ref="E849:M849"/>
    <mergeCell ref="C850:D850"/>
    <mergeCell ref="F850:M850"/>
    <mergeCell ref="C851:D852"/>
    <mergeCell ref="L851:M851"/>
    <mergeCell ref="L852:M852"/>
    <mergeCell ref="C844:D844"/>
    <mergeCell ref="F844:M844"/>
    <mergeCell ref="C845:D845"/>
    <mergeCell ref="F845:M845"/>
    <mergeCell ref="C848:D848"/>
    <mergeCell ref="E848:I848"/>
    <mergeCell ref="J848:K848"/>
    <mergeCell ref="L848:M848"/>
    <mergeCell ref="C841:D841"/>
    <mergeCell ref="E841:M841"/>
    <mergeCell ref="C842:D842"/>
    <mergeCell ref="F842:M842"/>
    <mergeCell ref="C843:D843"/>
    <mergeCell ref="F843:M843"/>
    <mergeCell ref="C863:D863"/>
    <mergeCell ref="F863:M863"/>
    <mergeCell ref="C864:D864"/>
    <mergeCell ref="F864:M864"/>
    <mergeCell ref="C867:D867"/>
    <mergeCell ref="E867:I867"/>
    <mergeCell ref="J867:K867"/>
    <mergeCell ref="L867:M867"/>
    <mergeCell ref="C860:D860"/>
    <mergeCell ref="E860:M860"/>
    <mergeCell ref="C861:D861"/>
    <mergeCell ref="F861:M861"/>
    <mergeCell ref="C862:D862"/>
    <mergeCell ref="F862:M862"/>
    <mergeCell ref="C853:D855"/>
    <mergeCell ref="F853:M853"/>
    <mergeCell ref="F854:M854"/>
    <mergeCell ref="F855:M855"/>
    <mergeCell ref="C856:D859"/>
    <mergeCell ref="F856:M856"/>
    <mergeCell ref="F857:M857"/>
    <mergeCell ref="F858:M858"/>
    <mergeCell ref="F859:M859"/>
    <mergeCell ref="C879:D879"/>
    <mergeCell ref="E879:M879"/>
    <mergeCell ref="C880:D880"/>
    <mergeCell ref="F880:M880"/>
    <mergeCell ref="C881:D881"/>
    <mergeCell ref="F881:M881"/>
    <mergeCell ref="C872:D874"/>
    <mergeCell ref="F872:M872"/>
    <mergeCell ref="F873:M873"/>
    <mergeCell ref="F874:M874"/>
    <mergeCell ref="C875:D878"/>
    <mergeCell ref="F875:M875"/>
    <mergeCell ref="F876:M876"/>
    <mergeCell ref="F877:M877"/>
    <mergeCell ref="F878:M878"/>
    <mergeCell ref="C868:D868"/>
    <mergeCell ref="E868:M868"/>
    <mergeCell ref="C869:D869"/>
    <mergeCell ref="F869:M869"/>
    <mergeCell ref="C870:D871"/>
    <mergeCell ref="L870:M870"/>
    <mergeCell ref="L871:M871"/>
    <mergeCell ref="C891:D893"/>
    <mergeCell ref="F891:M891"/>
    <mergeCell ref="F892:M892"/>
    <mergeCell ref="F893:M893"/>
    <mergeCell ref="C894:D897"/>
    <mergeCell ref="F894:M894"/>
    <mergeCell ref="F895:M895"/>
    <mergeCell ref="F896:M896"/>
    <mergeCell ref="F897:M897"/>
    <mergeCell ref="C887:D887"/>
    <mergeCell ref="E887:M887"/>
    <mergeCell ref="C888:D888"/>
    <mergeCell ref="F888:M888"/>
    <mergeCell ref="C889:D890"/>
    <mergeCell ref="L889:M889"/>
    <mergeCell ref="L890:M890"/>
    <mergeCell ref="C882:D882"/>
    <mergeCell ref="F882:M882"/>
    <mergeCell ref="C883:D883"/>
    <mergeCell ref="F883:M883"/>
    <mergeCell ref="C886:D886"/>
    <mergeCell ref="E886:I886"/>
    <mergeCell ref="J886:K886"/>
    <mergeCell ref="L886:M886"/>
    <mergeCell ref="C906:D906"/>
    <mergeCell ref="E906:M906"/>
    <mergeCell ref="C907:D907"/>
    <mergeCell ref="F907:M907"/>
    <mergeCell ref="C908:D909"/>
    <mergeCell ref="L908:M908"/>
    <mergeCell ref="L909:M909"/>
    <mergeCell ref="C901:D901"/>
    <mergeCell ref="F901:M901"/>
    <mergeCell ref="C902:D902"/>
    <mergeCell ref="F902:M902"/>
    <mergeCell ref="C905:D905"/>
    <mergeCell ref="E905:I905"/>
    <mergeCell ref="J905:K905"/>
    <mergeCell ref="L905:M905"/>
    <mergeCell ref="C898:D898"/>
    <mergeCell ref="E898:M898"/>
    <mergeCell ref="C899:D899"/>
    <mergeCell ref="F899:M899"/>
    <mergeCell ref="C900:D900"/>
    <mergeCell ref="F900:M900"/>
    <mergeCell ref="C920:D920"/>
    <mergeCell ref="F920:M920"/>
    <mergeCell ref="C921:D921"/>
    <mergeCell ref="F921:M921"/>
    <mergeCell ref="C924:D924"/>
    <mergeCell ref="E924:I924"/>
    <mergeCell ref="J924:K924"/>
    <mergeCell ref="L924:M924"/>
    <mergeCell ref="C917:D917"/>
    <mergeCell ref="E917:M917"/>
    <mergeCell ref="C918:D918"/>
    <mergeCell ref="F918:M918"/>
    <mergeCell ref="C919:D919"/>
    <mergeCell ref="F919:M919"/>
    <mergeCell ref="C910:D912"/>
    <mergeCell ref="F910:M910"/>
    <mergeCell ref="F911:M911"/>
    <mergeCell ref="F912:M912"/>
    <mergeCell ref="C913:D916"/>
    <mergeCell ref="F913:M913"/>
    <mergeCell ref="F914:M914"/>
    <mergeCell ref="F915:M915"/>
    <mergeCell ref="F916:M916"/>
    <mergeCell ref="C936:D936"/>
    <mergeCell ref="E936:M936"/>
    <mergeCell ref="C937:D937"/>
    <mergeCell ref="F937:M937"/>
    <mergeCell ref="C938:D938"/>
    <mergeCell ref="F938:M938"/>
    <mergeCell ref="C929:D931"/>
    <mergeCell ref="F929:M929"/>
    <mergeCell ref="F930:M930"/>
    <mergeCell ref="F931:M931"/>
    <mergeCell ref="C932:D935"/>
    <mergeCell ref="F932:M932"/>
    <mergeCell ref="F933:M933"/>
    <mergeCell ref="F934:M934"/>
    <mergeCell ref="F935:M935"/>
    <mergeCell ref="C925:D925"/>
    <mergeCell ref="E925:M925"/>
    <mergeCell ref="C926:D926"/>
    <mergeCell ref="F926:M926"/>
    <mergeCell ref="C927:D928"/>
    <mergeCell ref="L927:M927"/>
    <mergeCell ref="L928:M928"/>
    <mergeCell ref="C948:D950"/>
    <mergeCell ref="F948:M948"/>
    <mergeCell ref="F949:M949"/>
    <mergeCell ref="F950:M950"/>
    <mergeCell ref="C951:D954"/>
    <mergeCell ref="F951:M951"/>
    <mergeCell ref="F952:M952"/>
    <mergeCell ref="F953:M953"/>
    <mergeCell ref="F954:M954"/>
    <mergeCell ref="C944:D944"/>
    <mergeCell ref="E944:M944"/>
    <mergeCell ref="C945:D945"/>
    <mergeCell ref="F945:M945"/>
    <mergeCell ref="C946:D947"/>
    <mergeCell ref="L946:M946"/>
    <mergeCell ref="L947:M947"/>
    <mergeCell ref="C939:D939"/>
    <mergeCell ref="F939:M939"/>
    <mergeCell ref="C940:D940"/>
    <mergeCell ref="F940:M940"/>
    <mergeCell ref="C943:D943"/>
    <mergeCell ref="E943:I943"/>
    <mergeCell ref="J943:K943"/>
    <mergeCell ref="L943:M943"/>
    <mergeCell ref="C963:D963"/>
    <mergeCell ref="E963:M963"/>
    <mergeCell ref="C964:D964"/>
    <mergeCell ref="F964:M964"/>
    <mergeCell ref="C965:D966"/>
    <mergeCell ref="L965:M965"/>
    <mergeCell ref="L966:M966"/>
    <mergeCell ref="C958:D958"/>
    <mergeCell ref="F958:M958"/>
    <mergeCell ref="C959:D959"/>
    <mergeCell ref="F959:M959"/>
    <mergeCell ref="C962:D962"/>
    <mergeCell ref="E962:I962"/>
    <mergeCell ref="J962:K962"/>
    <mergeCell ref="L962:M962"/>
    <mergeCell ref="C955:D955"/>
    <mergeCell ref="E955:M955"/>
    <mergeCell ref="C956:D956"/>
    <mergeCell ref="F956:M956"/>
    <mergeCell ref="C957:D957"/>
    <mergeCell ref="F957:M957"/>
    <mergeCell ref="C977:D977"/>
    <mergeCell ref="F977:M977"/>
    <mergeCell ref="C978:D978"/>
    <mergeCell ref="F978:M978"/>
    <mergeCell ref="C981:D981"/>
    <mergeCell ref="E981:I981"/>
    <mergeCell ref="J981:K981"/>
    <mergeCell ref="L981:M981"/>
    <mergeCell ref="C974:D974"/>
    <mergeCell ref="E974:M974"/>
    <mergeCell ref="C975:D975"/>
    <mergeCell ref="F975:M975"/>
    <mergeCell ref="C976:D976"/>
    <mergeCell ref="F976:M976"/>
    <mergeCell ref="C967:D969"/>
    <mergeCell ref="F967:M967"/>
    <mergeCell ref="F968:M968"/>
    <mergeCell ref="F969:M969"/>
    <mergeCell ref="C970:D973"/>
    <mergeCell ref="F970:M970"/>
    <mergeCell ref="F971:M971"/>
    <mergeCell ref="F972:M972"/>
    <mergeCell ref="F973:M973"/>
    <mergeCell ref="C993:D993"/>
    <mergeCell ref="E993:M993"/>
    <mergeCell ref="C994:D994"/>
    <mergeCell ref="F994:M994"/>
    <mergeCell ref="C995:D995"/>
    <mergeCell ref="F995:M995"/>
    <mergeCell ref="C986:D988"/>
    <mergeCell ref="F986:M986"/>
    <mergeCell ref="F987:M987"/>
    <mergeCell ref="F988:M988"/>
    <mergeCell ref="C989:D992"/>
    <mergeCell ref="F989:M989"/>
    <mergeCell ref="F990:M990"/>
    <mergeCell ref="F991:M991"/>
    <mergeCell ref="F992:M992"/>
    <mergeCell ref="C982:D982"/>
    <mergeCell ref="E982:M982"/>
    <mergeCell ref="C983:D983"/>
    <mergeCell ref="F983:M983"/>
    <mergeCell ref="C984:D985"/>
    <mergeCell ref="L984:M984"/>
    <mergeCell ref="L985:M985"/>
    <mergeCell ref="C1005:D1007"/>
    <mergeCell ref="F1005:M1005"/>
    <mergeCell ref="F1006:M1006"/>
    <mergeCell ref="F1007:M1007"/>
    <mergeCell ref="C1008:D1011"/>
    <mergeCell ref="F1008:M1008"/>
    <mergeCell ref="F1009:M1009"/>
    <mergeCell ref="F1010:M1010"/>
    <mergeCell ref="F1011:M1011"/>
    <mergeCell ref="C1001:D1001"/>
    <mergeCell ref="E1001:M1001"/>
    <mergeCell ref="C1002:D1002"/>
    <mergeCell ref="F1002:M1002"/>
    <mergeCell ref="C1003:D1004"/>
    <mergeCell ref="L1003:M1003"/>
    <mergeCell ref="L1004:M1004"/>
    <mergeCell ref="C996:D996"/>
    <mergeCell ref="F996:M996"/>
    <mergeCell ref="C997:D997"/>
    <mergeCell ref="F997:M997"/>
    <mergeCell ref="C1000:D1000"/>
    <mergeCell ref="E1000:I1000"/>
    <mergeCell ref="J1000:K1000"/>
    <mergeCell ref="L1000:M1000"/>
    <mergeCell ref="B1029:B1030"/>
    <mergeCell ref="C1029:C1030"/>
    <mergeCell ref="D1029:D1030"/>
    <mergeCell ref="E1029:E1030"/>
    <mergeCell ref="F1029:J1029"/>
    <mergeCell ref="K1029:N1030"/>
    <mergeCell ref="C1015:D1015"/>
    <mergeCell ref="F1015:M1015"/>
    <mergeCell ref="C1016:D1016"/>
    <mergeCell ref="F1016:M1016"/>
    <mergeCell ref="B1023:N1023"/>
    <mergeCell ref="B1027:C1027"/>
    <mergeCell ref="D1027:F1027"/>
    <mergeCell ref="C1012:D1012"/>
    <mergeCell ref="E1012:M1012"/>
    <mergeCell ref="C1013:D1013"/>
    <mergeCell ref="F1013:M1013"/>
    <mergeCell ref="C1014:D1014"/>
    <mergeCell ref="F1014:M1014"/>
    <mergeCell ref="K1049:N1049"/>
    <mergeCell ref="K1050:N1050"/>
    <mergeCell ref="K1043:N1043"/>
    <mergeCell ref="K1044:N1044"/>
    <mergeCell ref="K1045:N1045"/>
    <mergeCell ref="K1046:N1046"/>
    <mergeCell ref="K1047:N1047"/>
    <mergeCell ref="K1048:N1048"/>
    <mergeCell ref="K1037:N1037"/>
    <mergeCell ref="K1038:N1038"/>
    <mergeCell ref="K1039:N1039"/>
    <mergeCell ref="K1040:N1040"/>
    <mergeCell ref="K1041:N1041"/>
    <mergeCell ref="K1042:N1042"/>
    <mergeCell ref="K1031:N1031"/>
    <mergeCell ref="K1032:N1032"/>
    <mergeCell ref="K1033:N1033"/>
    <mergeCell ref="K1034:N1034"/>
    <mergeCell ref="K1035:N1035"/>
    <mergeCell ref="K1036:N1036"/>
  </mergeCells>
  <conditionalFormatting sqref="D6:F6 B10:B59 D60:J60 D63:J63 E69:I69 L69:M69 E82:E85 E88:I88 L88:M88 E101:E104 E107:I107 L107:M107 E120:E123 E126:I126 L126:M126 E139:E142 E145:I145 L145:M145 E158:E161 E164:I164 L164:M164 E177:E180 E183:I183 L183:M183 E196:E199 E202:I202 L202:M202 E215:E218 E221:I221 L221:M221 E234:E237 E240:I240 L240:M240 E253:E256 E259:I259 L259:M259 E272:E275 E278:I278 L278:M278 E291:E294 E297:I297 L297:M297 E310:E313 E316:I316 L316:M316 E329:E332 E335:I335 L335:M335 E348:E351 E354:I354 L354:M354 E367:E370 E373:I373 L373:M373 E386:E389 E392:I392 L392:M392 E405:E408 E411:I411 L411:M411 E424:E427 E430:I430 L430:M430 E443:E446 E449:I449 L449:M449 E462:E465 E468:I468 L468:M468 E481:E484 E487:I487 L487:M487 E500:E503 E506:I506 L506:M506 E519:E522 E525:I525 L525:M525 E538:E541 E544:I544 L544:M544 E557:E560 E563:I563 L563:M563 E576:E579 E582:I582 L582:M582 E595:E598 E601:I601 L601:M601 E614:E617 E620:I620 L620:M620 E633:E636 E639:I639 L639:M639 E652:E655 E658:I658 L658:M658 E671:E674 E677:I677 L677:M677 E690:E693 E696:I696 L696:M696 E709:E712 E715:I715 L715:M715 E728:E731 E734:I734 L734:M734 E747:E750 E753:I753 L753:M753 E766:E769 E772:I772 L772:M772 E785:E788 E791:I791 L791:M791 E804:E807 E810:I810 L810:M810 E823:E826 E829:I829 L829:M829 E842:E845 E848:I848 L848:M848 E861:E864 E867:I867 L867:M867 E880:E883 E886:I886 L886:M886 E899:E902 E905:I905 L905:M905 E918:E921 E924:I924 L924:M924 E937:E940 E943:I943 L943:M943 E956:E959 E962:I962 L962:M962 E975:E978 E981:I981 L981:M981 E994:E997 E1000:I1000 L1000:M1000 E1013:E1016">
    <cfRule type="expression" dxfId="877" priority="54">
      <formula>$A$2="PRINT"</formula>
    </cfRule>
  </conditionalFormatting>
  <conditionalFormatting sqref="E71">
    <cfRule type="expression" dxfId="876" priority="53">
      <formula>$A$2="PRINT"</formula>
    </cfRule>
  </conditionalFormatting>
  <conditionalFormatting sqref="E90">
    <cfRule type="expression" dxfId="875" priority="52">
      <formula>$A$2="PRINT"</formula>
    </cfRule>
  </conditionalFormatting>
  <conditionalFormatting sqref="E109">
    <cfRule type="expression" dxfId="874" priority="51">
      <formula>$A$2="PRINT"</formula>
    </cfRule>
  </conditionalFormatting>
  <conditionalFormatting sqref="E128">
    <cfRule type="expression" dxfId="873" priority="50">
      <formula>$A$2="PRINT"</formula>
    </cfRule>
  </conditionalFormatting>
  <conditionalFormatting sqref="E147">
    <cfRule type="expression" dxfId="872" priority="49">
      <formula>$A$2="PRINT"</formula>
    </cfRule>
  </conditionalFormatting>
  <conditionalFormatting sqref="E166">
    <cfRule type="expression" dxfId="871" priority="48">
      <formula>$A$2="PRINT"</formula>
    </cfRule>
  </conditionalFormatting>
  <conditionalFormatting sqref="E185">
    <cfRule type="expression" dxfId="870" priority="47">
      <formula>$A$2="PRINT"</formula>
    </cfRule>
  </conditionalFormatting>
  <conditionalFormatting sqref="E204">
    <cfRule type="expression" dxfId="869" priority="46">
      <formula>$A$2="PRINT"</formula>
    </cfRule>
  </conditionalFormatting>
  <conditionalFormatting sqref="E223">
    <cfRule type="expression" dxfId="868" priority="45">
      <formula>$A$2="PRINT"</formula>
    </cfRule>
  </conditionalFormatting>
  <conditionalFormatting sqref="E242">
    <cfRule type="expression" dxfId="867" priority="44">
      <formula>$A$2="PRINT"</formula>
    </cfRule>
  </conditionalFormatting>
  <conditionalFormatting sqref="E261">
    <cfRule type="expression" dxfId="866" priority="43">
      <formula>$A$2="PRINT"</formula>
    </cfRule>
  </conditionalFormatting>
  <conditionalFormatting sqref="E280">
    <cfRule type="expression" dxfId="865" priority="42">
      <formula>$A$2="PRINT"</formula>
    </cfRule>
  </conditionalFormatting>
  <conditionalFormatting sqref="E299">
    <cfRule type="expression" dxfId="864" priority="41">
      <formula>$A$2="PRINT"</formula>
    </cfRule>
  </conditionalFormatting>
  <conditionalFormatting sqref="E318">
    <cfRule type="expression" dxfId="863" priority="40">
      <formula>$A$2="PRINT"</formula>
    </cfRule>
  </conditionalFormatting>
  <conditionalFormatting sqref="E337">
    <cfRule type="expression" dxfId="862" priority="39">
      <formula>$A$2="PRINT"</formula>
    </cfRule>
  </conditionalFormatting>
  <conditionalFormatting sqref="E356">
    <cfRule type="expression" dxfId="861" priority="38">
      <formula>$A$2="PRINT"</formula>
    </cfRule>
  </conditionalFormatting>
  <conditionalFormatting sqref="E375">
    <cfRule type="expression" dxfId="860" priority="37">
      <formula>$A$2="PRINT"</formula>
    </cfRule>
  </conditionalFormatting>
  <conditionalFormatting sqref="E394">
    <cfRule type="expression" dxfId="859" priority="36">
      <formula>$A$2="PRINT"</formula>
    </cfRule>
  </conditionalFormatting>
  <conditionalFormatting sqref="E413">
    <cfRule type="expression" dxfId="858" priority="35">
      <formula>$A$2="PRINT"</formula>
    </cfRule>
  </conditionalFormatting>
  <conditionalFormatting sqref="E432">
    <cfRule type="expression" dxfId="857" priority="34">
      <formula>$A$2="PRINT"</formula>
    </cfRule>
  </conditionalFormatting>
  <conditionalFormatting sqref="E451">
    <cfRule type="expression" dxfId="856" priority="33">
      <formula>$A$2="PRINT"</formula>
    </cfRule>
  </conditionalFormatting>
  <conditionalFormatting sqref="E470">
    <cfRule type="expression" dxfId="855" priority="32">
      <formula>$A$2="PRINT"</formula>
    </cfRule>
  </conditionalFormatting>
  <conditionalFormatting sqref="E489">
    <cfRule type="expression" dxfId="854" priority="31">
      <formula>$A$2="PRINT"</formula>
    </cfRule>
  </conditionalFormatting>
  <conditionalFormatting sqref="E508">
    <cfRule type="expression" dxfId="853" priority="30">
      <formula>$A$2="PRINT"</formula>
    </cfRule>
  </conditionalFormatting>
  <conditionalFormatting sqref="E527">
    <cfRule type="expression" dxfId="852" priority="29">
      <formula>$A$2="PRINT"</formula>
    </cfRule>
  </conditionalFormatting>
  <conditionalFormatting sqref="E546">
    <cfRule type="expression" dxfId="851" priority="28">
      <formula>$A$2="PRINT"</formula>
    </cfRule>
  </conditionalFormatting>
  <conditionalFormatting sqref="E565">
    <cfRule type="expression" dxfId="850" priority="27">
      <formula>$A$2="PRINT"</formula>
    </cfRule>
  </conditionalFormatting>
  <conditionalFormatting sqref="E584">
    <cfRule type="expression" dxfId="849" priority="26">
      <formula>$A$2="PRINT"</formula>
    </cfRule>
  </conditionalFormatting>
  <conditionalFormatting sqref="E603">
    <cfRule type="expression" dxfId="848" priority="25">
      <formula>$A$2="PRINT"</formula>
    </cfRule>
  </conditionalFormatting>
  <conditionalFormatting sqref="E622">
    <cfRule type="expression" dxfId="847" priority="24">
      <formula>$A$2="PRINT"</formula>
    </cfRule>
  </conditionalFormatting>
  <conditionalFormatting sqref="E641">
    <cfRule type="expression" dxfId="846" priority="23">
      <formula>$A$2="PRINT"</formula>
    </cfRule>
  </conditionalFormatting>
  <conditionalFormatting sqref="E660">
    <cfRule type="expression" dxfId="845" priority="22">
      <formula>$A$2="PRINT"</formula>
    </cfRule>
  </conditionalFormatting>
  <conditionalFormatting sqref="E679">
    <cfRule type="expression" dxfId="844" priority="21">
      <formula>$A$2="PRINT"</formula>
    </cfRule>
  </conditionalFormatting>
  <conditionalFormatting sqref="E698">
    <cfRule type="expression" dxfId="843" priority="20">
      <formula>$A$2="PRINT"</formula>
    </cfRule>
  </conditionalFormatting>
  <conditionalFormatting sqref="E717">
    <cfRule type="expression" dxfId="842" priority="19">
      <formula>$A$2="PRINT"</formula>
    </cfRule>
  </conditionalFormatting>
  <conditionalFormatting sqref="E736">
    <cfRule type="expression" dxfId="841" priority="18">
      <formula>$A$2="PRINT"</formula>
    </cfRule>
  </conditionalFormatting>
  <conditionalFormatting sqref="E755">
    <cfRule type="expression" dxfId="840" priority="17">
      <formula>$A$2="PRINT"</formula>
    </cfRule>
  </conditionalFormatting>
  <conditionalFormatting sqref="E774">
    <cfRule type="expression" dxfId="839" priority="16">
      <formula>$A$2="PRINT"</formula>
    </cfRule>
  </conditionalFormatting>
  <conditionalFormatting sqref="E793">
    <cfRule type="expression" dxfId="838" priority="15">
      <formula>$A$2="PRINT"</formula>
    </cfRule>
  </conditionalFormatting>
  <conditionalFormatting sqref="E812">
    <cfRule type="expression" dxfId="837" priority="14">
      <formula>$A$2="PRINT"</formula>
    </cfRule>
  </conditionalFormatting>
  <conditionalFormatting sqref="E831">
    <cfRule type="expression" dxfId="836" priority="13">
      <formula>$A$2="PRINT"</formula>
    </cfRule>
  </conditionalFormatting>
  <conditionalFormatting sqref="E850">
    <cfRule type="expression" dxfId="835" priority="12">
      <formula>$A$2="PRINT"</formula>
    </cfRule>
  </conditionalFormatting>
  <conditionalFormatting sqref="E869">
    <cfRule type="expression" dxfId="834" priority="11">
      <formula>$A$2="PRINT"</formula>
    </cfRule>
  </conditionalFormatting>
  <conditionalFormatting sqref="E888">
    <cfRule type="expression" dxfId="833" priority="10">
      <formula>$A$2="PRINT"</formula>
    </cfRule>
  </conditionalFormatting>
  <conditionalFormatting sqref="E907">
    <cfRule type="expression" dxfId="832" priority="9">
      <formula>$A$2="PRINT"</formula>
    </cfRule>
  </conditionalFormatting>
  <conditionalFormatting sqref="E926">
    <cfRule type="expression" dxfId="831" priority="8">
      <formula>$A$2="PRINT"</formula>
    </cfRule>
  </conditionalFormatting>
  <conditionalFormatting sqref="E945">
    <cfRule type="expression" dxfId="830" priority="7">
      <formula>$A$2="PRINT"</formula>
    </cfRule>
  </conditionalFormatting>
  <conditionalFormatting sqref="E964">
    <cfRule type="expression" dxfId="829" priority="6">
      <formula>$A$2="PRINT"</formula>
    </cfRule>
  </conditionalFormatting>
  <conditionalFormatting sqref="E983">
    <cfRule type="expression" dxfId="828" priority="5">
      <formula>$A$2="PRINT"</formula>
    </cfRule>
  </conditionalFormatting>
  <conditionalFormatting sqref="E1002">
    <cfRule type="expression" dxfId="827" priority="4">
      <formula>$A$2="PRINT"</formula>
    </cfRule>
  </conditionalFormatting>
  <conditionalFormatting sqref="B1031 B1033 B1035 B1037 B1039 B1041 B1043 B1045 B1047 B1049:B1050">
    <cfRule type="expression" dxfId="826" priority="3">
      <formula>$A$2="PRINT"</formula>
    </cfRule>
  </conditionalFormatting>
  <conditionalFormatting sqref="B1032 B1034 B1036 B1038 B1040 B1042 B1044 B1046 B1048">
    <cfRule type="expression" dxfId="825" priority="2">
      <formula>$A$2="PRINT"</formula>
    </cfRule>
  </conditionalFormatting>
  <conditionalFormatting sqref="D1027:F1027">
    <cfRule type="expression" dxfId="824" priority="1">
      <formula>$A$2="PRINT"</formula>
    </cfRule>
  </conditionalFormatting>
  <dataValidations count="5">
    <dataValidation type="list" allowBlank="1" showErrorMessage="1" sqref="D1027:F1027" xr:uid="{00000000-0002-0000-1600-000000000000}">
      <formula1>"Click to select number of new other investments,0,1,2,3,4,5,6,7,8,9,10,11,12,13,14,15,16,17,18,19,20"</formula1>
    </dataValidation>
    <dataValidation type="list" allowBlank="1" showErrorMessage="1" sqref="D6:F6" xr:uid="{00000000-0002-0000-1600-000001000000}">
      <formula1>"Click to select number of new major investments,0,1,2,3,4,5,6,7,8,9,10,11,12,13,14,15,16,17,18,19,20,21,22,23,24,25,26,27,28,29,30,31,32,33,34,35,36,37,38,39,40,41,42,43,44,45,46,47,48,49,50"</formula1>
    </dataValidation>
    <dataValidation type="list" allowBlank="1" showInputMessage="1" showErrorMessage="1" sqref="E85 E104 E123 E142 E161 E180 E199 E218 E237 E256 E275 E294 E313 E332 E351 E370 E389 E408 E427 E446 E465 E484 E503 E522 E541 E560 E579 E598 E617 E636 E655 E674 E693 E712 E731 E750 E769 E788 E807 E826 E845 E864 E883 E902 E921 E940 E959 E978 E997 E1016" xr:uid="{00000000-0002-0000-1600-000002000000}">
      <formula1>"Click to select,PCP,Master Plan (non-PCP)"</formula1>
    </dataValidation>
    <dataValidation type="list" allowBlank="1" showInputMessage="1" showErrorMessage="1" sqref="E84 E103 E122 E141 E160 E179 E198 E217 E236 E255 E274 E293 E312 E331 E350 E369 E388 E407 E426 E445 E464 E483 E502 E521 E540 E559 E578 E597 E616 E635 E654 E673 E692 E711 E730 E749 E768 E787 E806 E825 E844 E863 E882 E901 E920 E939 E958 E977 E996 E1015" xr:uid="{00000000-0002-0000-1600-000003000000}">
      <formula1>"Click to select,New system,Overhaul of existing system,Replacement investment"</formula1>
    </dataValidation>
    <dataValidation type="list" allowBlank="1" showInputMessage="1" showErrorMessage="1" sqref="E82:E83 E766:E767 E101:E102 E120:E121 E139:E140 E158:E159 E177:E178 E196:E197 E215:E216 E234:E235 E253:E254 E272:E273 E291:E292 E310:E311 E329:E330 E348:E349 E367:E368 E386:E387 E405:E406 E424:E425 E443:E444 E462:E463 E481:E482 E500:E501 E519:E520 E538:E539 E557:E558 E576:E577 E595:E596 E614:E615 E633:E634 E652:E653 E671:E672 E690:E691 E709:E710 E728:E729 E747:E748 E785:E786 E804:E805 E823:E824 E842:E843 E861:E862 E880:E881 E899:E900 E918:E919 E937:E938 E956:E957 E975:E976 E994:E995 E1013:E1014 E983 E71 E90 E109 E128 E147 E166 E185 E204 E223 E242 E261 E280 E299 E318 E337 E356 E375 E394 E413 E432 E451 E470 E489 E508 E527 E546 E565 E584 E603 E622 E641 E660 E679 E698 E717 E736 E755 E774 E793 E812 E831 E850 E869 E888 E907 E926 E945 E964 E1002" xr:uid="{00000000-0002-0000-1600-000004000000}">
      <formula1>"Click to select,Yes,No"</formula1>
    </dataValidation>
  </dataValidations>
  <hyperlinks>
    <hyperlink ref="B10" location="'2.1 Investments_ANSP#1'!B83" tooltip="Go to Project #" display="1" xr:uid="{00000000-0004-0000-1600-000000000000}"/>
    <hyperlink ref="B11" location="'2.1 Investments_ANSP#1'!B102" tooltip="Go to Project #" display="2" xr:uid="{00000000-0004-0000-1600-000001000000}"/>
    <hyperlink ref="B12" location="'2.1 Investments_ANSP#1'!B121" tooltip="Go to Project #" display="3" xr:uid="{00000000-0004-0000-1600-000002000000}"/>
    <hyperlink ref="B13" location="'2.1 Investments_ANSP#1'!B140" tooltip="Go to Project #" display="4" xr:uid="{00000000-0004-0000-1600-000003000000}"/>
    <hyperlink ref="B14" location="'2.1 Investments_ANSP#1'!B159" tooltip="Go to Project #" display="5" xr:uid="{00000000-0004-0000-1600-000004000000}"/>
    <hyperlink ref="B15" location="'2.1 Investments_ANSP#1'!B178" tooltip="Go to Project #" display="6" xr:uid="{00000000-0004-0000-1600-000005000000}"/>
    <hyperlink ref="B16" location="'2.1 Investments_ANSP#1'!B197" tooltip="Go to Project #" display="7" xr:uid="{00000000-0004-0000-1600-000006000000}"/>
    <hyperlink ref="B17" location="'2.1 Investments_ANSP#1'!B216" tooltip="Go to Project #" display="8" xr:uid="{00000000-0004-0000-1600-000007000000}"/>
    <hyperlink ref="B18" location="'2.1 Investments_ANSP#1'!B235" tooltip="Go to Project #" display="9" xr:uid="{00000000-0004-0000-1600-000008000000}"/>
    <hyperlink ref="B19" location="'2.1 Investments_ANSP#1'!B254" tooltip="Go to Project #" display="10" xr:uid="{00000000-0004-0000-1600-000009000000}"/>
    <hyperlink ref="B20" location="'2.1 Investments_ANSP#1'!B273" tooltip="Go to Project #" display="11" xr:uid="{00000000-0004-0000-1600-00000A000000}"/>
    <hyperlink ref="B21" location="'2.1 Investments_ANSP#1'!B292" tooltip="Go to Project #" display="12" xr:uid="{00000000-0004-0000-1600-00000B000000}"/>
    <hyperlink ref="B22" location="'2.1 Investments_ANSP#1'!B311" tooltip="Go to Project #" display="13" xr:uid="{00000000-0004-0000-1600-00000C000000}"/>
    <hyperlink ref="B23" location="'2.1 Investments_ANSP#1'!B330" tooltip="Go to Project #" display="14" xr:uid="{00000000-0004-0000-1600-00000D000000}"/>
    <hyperlink ref="B24" location="'2.1 Investments_ANSP#1'!B349" tooltip="Go to Project #" display="15" xr:uid="{00000000-0004-0000-1600-00000E000000}"/>
    <hyperlink ref="B25" location="'2.1 Investments_ANSP#1'!B368" tooltip="Go to Project #" display="16" xr:uid="{00000000-0004-0000-1600-00000F000000}"/>
    <hyperlink ref="B26" location="'2.1 Investments_ANSP#1'!B387" tooltip="Go to Project #" display="17" xr:uid="{00000000-0004-0000-1600-000010000000}"/>
    <hyperlink ref="B27" location="'2.1 Investments_ANSP#1'!B406" tooltip="Go to Project #" display="18" xr:uid="{00000000-0004-0000-1600-000011000000}"/>
    <hyperlink ref="B28" location="'2.1 Investments_ANSP#1'!B425" tooltip="Go to Project #" display="19" xr:uid="{00000000-0004-0000-1600-000012000000}"/>
    <hyperlink ref="B29" location="'2.1 Investments_ANSP#1'!B444" tooltip="Go to Project #" display="20" xr:uid="{00000000-0004-0000-1600-000013000000}"/>
    <hyperlink ref="B30" location="'2.1 Investments_ANSP#1'!B463" tooltip="Go to Project #" display="21" xr:uid="{00000000-0004-0000-1600-000014000000}"/>
    <hyperlink ref="B31" location="'2.1 Investments_ANSP#1'!B482" tooltip="Go to Project #" display="22" xr:uid="{00000000-0004-0000-1600-000015000000}"/>
    <hyperlink ref="B32" location="'2.1 Investments_ANSP#1'!B501" tooltip="Go to Project #" display="23" xr:uid="{00000000-0004-0000-1600-000016000000}"/>
    <hyperlink ref="B33" location="'2.1 Investments_ANSP#1'!B520" tooltip="Go to Project #" display="24" xr:uid="{00000000-0004-0000-1600-000017000000}"/>
    <hyperlink ref="B34" location="'2.1 Investments_ANSP#1'!B539" tooltip="Go to Project #" display="25" xr:uid="{00000000-0004-0000-1600-000018000000}"/>
    <hyperlink ref="B35" location="'2.1 Investments_ANSP#1'!B558" tooltip="Go to Project #" display="26" xr:uid="{00000000-0004-0000-1600-000019000000}"/>
    <hyperlink ref="B36" location="'2.1 Investments_ANSP#1'!B577" tooltip="Go to Project #" display="27" xr:uid="{00000000-0004-0000-1600-00001A000000}"/>
    <hyperlink ref="B37" location="'2.1 Investments_ANSP#1'!B596" tooltip="Go to Project #" display="28" xr:uid="{00000000-0004-0000-1600-00001B000000}"/>
    <hyperlink ref="B38" location="'2.1 Investments_ANSP#1'!B615" tooltip="Go to Project #" display="29" xr:uid="{00000000-0004-0000-1600-00001C000000}"/>
    <hyperlink ref="B39" location="'2.1 Investments_ANSP#1'!B634" tooltip="Go to Project #" display="30" xr:uid="{00000000-0004-0000-1600-00001D000000}"/>
    <hyperlink ref="B40" location="'2.1 Investments_ANSP#1'!B653" tooltip="Go to Project #" display="31" xr:uid="{00000000-0004-0000-1600-00001E000000}"/>
    <hyperlink ref="B41" location="'2.1 Investments_ANSP#1'!B672" tooltip="Go to Project #" display="32" xr:uid="{00000000-0004-0000-1600-00001F000000}"/>
    <hyperlink ref="B42" location="'2.1 Investments_ANSP#1'!B691" tooltip="Go to Project #" display="33" xr:uid="{00000000-0004-0000-1600-000020000000}"/>
    <hyperlink ref="B43" location="'2.1 Investments_ANSP#1'!B710" tooltip="Go to Project #" display="34" xr:uid="{00000000-0004-0000-1600-000021000000}"/>
    <hyperlink ref="B44" location="'2.1 Investments_ANSP#1'!B729" tooltip="Go to Project #" display="35" xr:uid="{00000000-0004-0000-1600-000022000000}"/>
    <hyperlink ref="B45" location="'2.1 Investments_ANSP#1'!B748" tooltip="Go to Project #" display="36" xr:uid="{00000000-0004-0000-1600-000023000000}"/>
    <hyperlink ref="B46" location="'2.1 Investments_ANSP#1'!B767" tooltip="Go to Project #" display="37" xr:uid="{00000000-0004-0000-1600-000024000000}"/>
    <hyperlink ref="B47" location="'2.1 Investments_ANSP#1'!B786" tooltip="Go to Project #" display="38" xr:uid="{00000000-0004-0000-1600-000025000000}"/>
    <hyperlink ref="B48" location="'2.1 Investments_ANSP#1'!B805" tooltip="Go to Project #" display="39" xr:uid="{00000000-0004-0000-1600-000026000000}"/>
    <hyperlink ref="B49" location="'2.1 Investments_ANSP#1'!B824" tooltip="Go to Project #" display="40" xr:uid="{00000000-0004-0000-1600-000027000000}"/>
    <hyperlink ref="B50" location="'2.1 Investments_ANSP#1'!B843" tooltip="Go to Project #" display="41" xr:uid="{00000000-0004-0000-1600-000028000000}"/>
    <hyperlink ref="B51" location="'2.1 Investments_ANSP#1'!B862" tooltip="Go to Project #" display="42" xr:uid="{00000000-0004-0000-1600-000029000000}"/>
    <hyperlink ref="B52" location="'2.1 Investments_ANSP#1'!B881" tooltip="Go to Project #" display="43" xr:uid="{00000000-0004-0000-1600-00002A000000}"/>
    <hyperlink ref="B53" location="'2.1 Investments_ANSP#1'!B900" tooltip="Go to Project #" display="44" xr:uid="{00000000-0004-0000-1600-00002B000000}"/>
    <hyperlink ref="B54" location="'2.1 Investments_ANSP#1'!B919" tooltip="Go to Project #" display="45" xr:uid="{00000000-0004-0000-1600-00002C000000}"/>
    <hyperlink ref="B55" location="'2.1 Investments_ANSP#1'!B938" tooltip="Go to Project #" display="46" xr:uid="{00000000-0004-0000-1600-00002D000000}"/>
    <hyperlink ref="B56" location="'2.1 Investments_ANSP#1'!B957" tooltip="Go to Project #" display="47" xr:uid="{00000000-0004-0000-1600-00002E000000}"/>
    <hyperlink ref="B57" location="'2.1 Investments_ANSP#1'!B976" tooltip="Go to Project #" display="48" xr:uid="{00000000-0004-0000-1600-00002F000000}"/>
    <hyperlink ref="B58" location="'2.1 Investments_ANSP#1'!B995" tooltip="Go to Project #" display="49" xr:uid="{00000000-0004-0000-1600-000030000000}"/>
    <hyperlink ref="B59" location="'2.1 Investments_ANSP#1'!B1014" tooltip="Go to Project #" display="50" xr:uid="{00000000-0004-0000-1600-000031000000}"/>
    <hyperlink ref="A69" location="'2.1 Investments_ANSP#1'!B4" tooltip="Go to top" display="'2.1 Investments_ANSP#1'!B4" xr:uid="{00000000-0004-0000-1600-000032000000}"/>
    <hyperlink ref="A943" location="'2.1 Investments_ANSP#1'!B4" tooltip="Go to top" display="'2.1 Investments_ANSP#1'!B4" xr:uid="{00000000-0004-0000-1600-000033000000}"/>
    <hyperlink ref="A962" location="'2.1 Investments_ANSP#1'!B4" tooltip="Go to top" display="'2.1 Investments_ANSP#1'!B4" xr:uid="{00000000-0004-0000-1600-000034000000}"/>
    <hyperlink ref="A981" location="'2.1 Investments_ANSP#1'!B4" tooltip="Go to top" display="'2.1 Investments_ANSP#1'!B4" xr:uid="{00000000-0004-0000-1600-000035000000}"/>
    <hyperlink ref="A1000" location="'2.1 Investments_ANSP#1'!B4" tooltip="Go to top" display="'2.1 Investments_ANSP#1'!B4" xr:uid="{00000000-0004-0000-1600-000036000000}"/>
    <hyperlink ref="A88" location="'2.1 Investments_ANSP#1'!B4" tooltip="Go to top" display="'2.1 Investments_ANSP#1'!B4" xr:uid="{00000000-0004-0000-1600-000037000000}"/>
    <hyperlink ref="A107" location="'2.1 Investments_ANSP#1'!B4" tooltip="Go to top" display="'2.1 Investments_ANSP#1'!B4" xr:uid="{00000000-0004-0000-1600-000038000000}"/>
    <hyperlink ref="A126" location="'2.1 Investments_ANSP#1'!B4" tooltip="Go to top" display="'2.1 Investments_ANSP#1'!B4" xr:uid="{00000000-0004-0000-1600-000039000000}"/>
    <hyperlink ref="A145" location="'2.1 Investments_ANSP#1'!B4" tooltip="Go to top" display="'2.1 Investments_ANSP#1'!B4" xr:uid="{00000000-0004-0000-1600-00003A000000}"/>
    <hyperlink ref="A164" location="'2.1 Investments_ANSP#1'!B4" tooltip="Go to top" display="'2.1 Investments_ANSP#1'!B4" xr:uid="{00000000-0004-0000-1600-00003B000000}"/>
    <hyperlink ref="A183" location="'2.1 Investments_ANSP#1'!B4" tooltip="Go to top" display="'2.1 Investments_ANSP#1'!B4" xr:uid="{00000000-0004-0000-1600-00003C000000}"/>
    <hyperlink ref="A202" location="'2.1 Investments_ANSP#1'!B4" tooltip="Go to top" display="'2.1 Investments_ANSP#1'!B4" xr:uid="{00000000-0004-0000-1600-00003D000000}"/>
    <hyperlink ref="A221" location="'2.1 Investments_ANSP#1'!B4" tooltip="Go to top" display="'2.1 Investments_ANSP#1'!B4" xr:uid="{00000000-0004-0000-1600-00003E000000}"/>
    <hyperlink ref="A240" location="'2.1 Investments_ANSP#1'!B4" tooltip="Go to top" display="'2.1 Investments_ANSP#1'!B4" xr:uid="{00000000-0004-0000-1600-00003F000000}"/>
    <hyperlink ref="A259" location="'2.1 Investments_ANSP#1'!B4" tooltip="Go to top" display="'2.1 Investments_ANSP#1'!B4" xr:uid="{00000000-0004-0000-1600-000040000000}"/>
    <hyperlink ref="A278" location="'2.1 Investments_ANSP#1'!B4" tooltip="Go to top" display="'2.1 Investments_ANSP#1'!B4" xr:uid="{00000000-0004-0000-1600-000041000000}"/>
    <hyperlink ref="A297" location="'2.1 Investments_ANSP#1'!B4" tooltip="Go to top" display="'2.1 Investments_ANSP#1'!B4" xr:uid="{00000000-0004-0000-1600-000042000000}"/>
    <hyperlink ref="A316" location="'2.1 Investments_ANSP#1'!B4" tooltip="Go to top" display="'2.1 Investments_ANSP#1'!B4" xr:uid="{00000000-0004-0000-1600-000043000000}"/>
    <hyperlink ref="A335" location="'2.1 Investments_ANSP#1'!B4" tooltip="Go to top" display="'2.1 Investments_ANSP#1'!B4" xr:uid="{00000000-0004-0000-1600-000044000000}"/>
    <hyperlink ref="A354" location="'2.1 Investments_ANSP#1'!B4" tooltip="Go to top" display="'2.1 Investments_ANSP#1'!B4" xr:uid="{00000000-0004-0000-1600-000045000000}"/>
    <hyperlink ref="A373" location="'2.1 Investments_ANSP#1'!B4" tooltip="Go to top" display="'2.1 Investments_ANSP#1'!B4" xr:uid="{00000000-0004-0000-1600-000046000000}"/>
    <hyperlink ref="A392" location="'2.1 Investments_ANSP#1'!B4" tooltip="Go to top" display="'2.1 Investments_ANSP#1'!B4" xr:uid="{00000000-0004-0000-1600-000047000000}"/>
    <hyperlink ref="A411" location="'2.1 Investments_ANSP#1'!B4" tooltip="Go to top" display="'2.1 Investments_ANSP#1'!B4" xr:uid="{00000000-0004-0000-1600-000048000000}"/>
    <hyperlink ref="A430" location="'2.1 Investments_ANSP#1'!B4" tooltip="Go to top" display="'2.1 Investments_ANSP#1'!B4" xr:uid="{00000000-0004-0000-1600-000049000000}"/>
    <hyperlink ref="A449" location="'2.1 Investments_ANSP#1'!B4" tooltip="Go to top" display="'2.1 Investments_ANSP#1'!B4" xr:uid="{00000000-0004-0000-1600-00004A000000}"/>
    <hyperlink ref="A468" location="'2.1 Investments_ANSP#1'!B4" tooltip="Go to top" display="'2.1 Investments_ANSP#1'!B4" xr:uid="{00000000-0004-0000-1600-00004B000000}"/>
    <hyperlink ref="A487" location="'2.1 Investments_ANSP#1'!B4" tooltip="Go to top" display="'2.1 Investments_ANSP#1'!B4" xr:uid="{00000000-0004-0000-1600-00004C000000}"/>
    <hyperlink ref="A506" location="'2.1 Investments_ANSP#1'!B4" tooltip="Go to top" display="'2.1 Investments_ANSP#1'!B4" xr:uid="{00000000-0004-0000-1600-00004D000000}"/>
    <hyperlink ref="A525" location="'2.1 Investments_ANSP#1'!B4" tooltip="Go to top" display="'2.1 Investments_ANSP#1'!B4" xr:uid="{00000000-0004-0000-1600-00004E000000}"/>
    <hyperlink ref="A544" location="'2.1 Investments_ANSP#1'!B4" tooltip="Go to top" display="'2.1 Investments_ANSP#1'!B4" xr:uid="{00000000-0004-0000-1600-00004F000000}"/>
    <hyperlink ref="A563" location="'2.1 Investments_ANSP#1'!B4" tooltip="Go to top" display="'2.1 Investments_ANSP#1'!B4" xr:uid="{00000000-0004-0000-1600-000050000000}"/>
    <hyperlink ref="A582" location="'2.1 Investments_ANSP#1'!B4" tooltip="Go to top" display="'2.1 Investments_ANSP#1'!B4" xr:uid="{00000000-0004-0000-1600-000051000000}"/>
    <hyperlink ref="A601" location="'2.1 Investments_ANSP#1'!B4" tooltip="Go to top" display="'2.1 Investments_ANSP#1'!B4" xr:uid="{00000000-0004-0000-1600-000052000000}"/>
    <hyperlink ref="A620" location="'2.1 Investments_ANSP#1'!B4" tooltip="Go to top" display="'2.1 Investments_ANSP#1'!B4" xr:uid="{00000000-0004-0000-1600-000053000000}"/>
    <hyperlink ref="A639" location="'2.1 Investments_ANSP#1'!B4" tooltip="Go to top" display="'2.1 Investments_ANSP#1'!B4" xr:uid="{00000000-0004-0000-1600-000054000000}"/>
    <hyperlink ref="A658" location="'2.1 Investments_ANSP#1'!B4" tooltip="Go to top" display="'2.1 Investments_ANSP#1'!B4" xr:uid="{00000000-0004-0000-1600-000055000000}"/>
    <hyperlink ref="A677" location="'2.1 Investments_ANSP#1'!B4" tooltip="Go to top" display="'2.1 Investments_ANSP#1'!B4" xr:uid="{00000000-0004-0000-1600-000056000000}"/>
    <hyperlink ref="A696" location="'2.1 Investments_ANSP#1'!B4" tooltip="Go to top" display="'2.1 Investments_ANSP#1'!B4" xr:uid="{00000000-0004-0000-1600-000057000000}"/>
    <hyperlink ref="A715" location="'2.1 Investments_ANSP#1'!B4" tooltip="Go to top" display="'2.1 Investments_ANSP#1'!B4" xr:uid="{00000000-0004-0000-1600-000058000000}"/>
    <hyperlink ref="A734" location="'2.1 Investments_ANSP#1'!B4" tooltip="Go to top" display="'2.1 Investments_ANSP#1'!B4" xr:uid="{00000000-0004-0000-1600-000059000000}"/>
    <hyperlink ref="A753" location="'2.1 Investments_ANSP#1'!B4" tooltip="Go to top" display="'2.1 Investments_ANSP#1'!B4" xr:uid="{00000000-0004-0000-1600-00005A000000}"/>
    <hyperlink ref="A772" location="'2.1 Investments_ANSP#1'!B4" tooltip="Go to top" display="'2.1 Investments_ANSP#1'!B4" xr:uid="{00000000-0004-0000-1600-00005B000000}"/>
    <hyperlink ref="A791" location="'2.1 Investments_ANSP#1'!B4" tooltip="Go to top" display="'2.1 Investments_ANSP#1'!B4" xr:uid="{00000000-0004-0000-1600-00005C000000}"/>
    <hyperlink ref="A810" location="'2.1 Investments_ANSP#1'!B4" tooltip="Go to top" display="'2.1 Investments_ANSP#1'!B4" xr:uid="{00000000-0004-0000-1600-00005D000000}"/>
    <hyperlink ref="A829" location="'2.1 Investments_ANSP#1'!B4" tooltip="Go to top" display="'2.1 Investments_ANSP#1'!B4" xr:uid="{00000000-0004-0000-1600-00005E000000}"/>
    <hyperlink ref="A848" location="'2.1 Investments_ANSP#1'!B4" tooltip="Go to top" display="'2.1 Investments_ANSP#1'!B4" xr:uid="{00000000-0004-0000-1600-00005F000000}"/>
    <hyperlink ref="A867" location="'2.1 Investments_ANSP#1'!B4" tooltip="Go to top" display="'2.1 Investments_ANSP#1'!B4" xr:uid="{00000000-0004-0000-1600-000060000000}"/>
    <hyperlink ref="A886" location="'2.1 Investments_ANSP#1'!B4" tooltip="Go to top" display="'2.1 Investments_ANSP#1'!B4" xr:uid="{00000000-0004-0000-1600-000061000000}"/>
    <hyperlink ref="A905" location="'2.1 Investments_ANSP#1'!B4" tooltip="Go to top" display="'2.1 Investments_ANSP#1'!B4" xr:uid="{00000000-0004-0000-1600-000062000000}"/>
    <hyperlink ref="A924" location="'2.1 Investments_ANSP#1'!B4" tooltip="Go to top" display="'2.1 Investments_ANSP#1'!B4" xr:uid="{00000000-0004-0000-1600-000063000000}"/>
  </hyperlinks>
  <pageMargins left="0.7" right="0.7" top="0.75" bottom="0.75" header="0.3" footer="0.3"/>
  <pageSetup paperSize="9" scale="69" fitToHeight="0" orientation="landscape" r:id="rId1"/>
  <headerFooter>
    <oddFooter>&amp;C&amp;P</oddFooter>
  </headerFooter>
  <drawing r:id="rId2"/>
  <picture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8">
    <tabColor theme="1"/>
    <pageSetUpPr fitToPage="1"/>
  </sheetPr>
  <dimension ref="A1:I45"/>
  <sheetViews>
    <sheetView showGridLines="0"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16384" width="9.140625" style="10"/>
  </cols>
  <sheetData>
    <row r="1" spans="1:9" s="9" customFormat="1">
      <c r="A1" s="8"/>
      <c r="C1" s="36"/>
      <c r="D1" s="37"/>
    </row>
    <row r="2" spans="1:9" ht="21">
      <c r="A2" s="104"/>
      <c r="B2" s="621" t="s">
        <v>328</v>
      </c>
      <c r="C2" s="621"/>
      <c r="D2" s="621"/>
      <c r="E2" s="621"/>
      <c r="F2" s="621"/>
    </row>
    <row r="3" spans="1:9">
      <c r="B3" s="138"/>
      <c r="C3" s="139"/>
      <c r="D3" s="140"/>
      <c r="E3" s="138"/>
      <c r="F3" s="138"/>
    </row>
    <row r="4" spans="1:9">
      <c r="B4"/>
      <c r="C4"/>
      <c r="D4"/>
      <c r="E4"/>
      <c r="F4"/>
      <c r="G4"/>
      <c r="H4"/>
      <c r="I4"/>
    </row>
    <row r="5" spans="1:9" ht="15" customHeight="1">
      <c r="B5" s="76" t="s">
        <v>1046</v>
      </c>
      <c r="C5"/>
      <c r="D5"/>
      <c r="E5"/>
      <c r="F5"/>
      <c r="G5"/>
      <c r="H5"/>
      <c r="I5"/>
    </row>
    <row r="6" spans="1:9">
      <c r="B6" s="111" t="s">
        <v>1047</v>
      </c>
      <c r="C6"/>
      <c r="D6"/>
      <c r="E6"/>
      <c r="F6"/>
      <c r="G6"/>
      <c r="H6"/>
      <c r="I6"/>
    </row>
    <row r="7" spans="1:9">
      <c r="C7"/>
      <c r="D7"/>
      <c r="E7"/>
      <c r="F7"/>
      <c r="G7"/>
      <c r="H7"/>
      <c r="I7"/>
    </row>
    <row r="8" spans="1:9">
      <c r="B8" s="76" t="s">
        <v>1050</v>
      </c>
      <c r="C8"/>
      <c r="D8"/>
      <c r="E8"/>
      <c r="F8"/>
      <c r="G8"/>
      <c r="H8"/>
      <c r="I8"/>
    </row>
    <row r="9" spans="1:9">
      <c r="B9" s="111" t="s">
        <v>1051</v>
      </c>
      <c r="C9"/>
      <c r="D9"/>
      <c r="E9"/>
      <c r="F9"/>
      <c r="G9"/>
      <c r="H9"/>
      <c r="I9"/>
    </row>
    <row r="10" spans="1:9">
      <c r="B10"/>
      <c r="C10"/>
      <c r="D10"/>
      <c r="E10"/>
      <c r="F10"/>
      <c r="G10"/>
      <c r="H10"/>
      <c r="I10"/>
    </row>
    <row r="11" spans="1:9" customFormat="1">
      <c r="B11" s="76" t="s">
        <v>1054</v>
      </c>
    </row>
    <row r="12" spans="1:9" customFormat="1">
      <c r="B12" s="111" t="s">
        <v>1055</v>
      </c>
    </row>
    <row r="13" spans="1:9">
      <c r="B13" s="111" t="s">
        <v>1056</v>
      </c>
    </row>
    <row r="15" spans="1:9">
      <c r="B15" s="76" t="s">
        <v>1058</v>
      </c>
    </row>
    <row r="16" spans="1:9">
      <c r="B16" s="112" t="s">
        <v>1008</v>
      </c>
    </row>
    <row r="17" spans="2:2">
      <c r="B17" s="125" t="s">
        <v>1229</v>
      </c>
    </row>
    <row r="18" spans="2:2">
      <c r="B18" s="112" t="s">
        <v>1062</v>
      </c>
    </row>
    <row r="19" spans="2:2">
      <c r="B19" s="125" t="s">
        <v>1230</v>
      </c>
    </row>
    <row r="20" spans="2:2">
      <c r="B20" s="111" t="s">
        <v>1126</v>
      </c>
    </row>
    <row r="21" spans="2:2">
      <c r="B21" s="111" t="s">
        <v>1127</v>
      </c>
    </row>
    <row r="22" spans="2:2">
      <c r="B22" s="111" t="s">
        <v>1136</v>
      </c>
    </row>
    <row r="23" spans="2:2">
      <c r="B23" s="111" t="s">
        <v>1630</v>
      </c>
    </row>
    <row r="25" spans="2:2">
      <c r="B25" s="76" t="s">
        <v>1066</v>
      </c>
    </row>
    <row r="26" spans="2:2">
      <c r="B26" s="76"/>
    </row>
    <row r="27" spans="2:2">
      <c r="B27" s="76" t="s">
        <v>1188</v>
      </c>
    </row>
    <row r="28" spans="2:2">
      <c r="B28" s="111" t="s">
        <v>1189</v>
      </c>
    </row>
    <row r="29" spans="2:2">
      <c r="B29" s="111" t="s">
        <v>1192</v>
      </c>
    </row>
    <row r="30" spans="2:2">
      <c r="B30" s="111" t="s">
        <v>1193</v>
      </c>
    </row>
    <row r="31" spans="2:2">
      <c r="B31" s="111" t="s">
        <v>1194</v>
      </c>
    </row>
    <row r="32" spans="2:2">
      <c r="B32" s="112"/>
    </row>
    <row r="34" spans="2:6">
      <c r="B34" s="124" t="s">
        <v>1183</v>
      </c>
    </row>
    <row r="35" spans="2:6">
      <c r="B35" s="123" t="s">
        <v>410</v>
      </c>
    </row>
    <row r="36" spans="2:6">
      <c r="B36" s="123" t="s">
        <v>411</v>
      </c>
    </row>
    <row r="37" spans="2:6">
      <c r="B37" s="123" t="s">
        <v>1174</v>
      </c>
    </row>
    <row r="38" spans="2:6">
      <c r="B38" s="123" t="s">
        <v>1176</v>
      </c>
    </row>
    <row r="39" spans="2:6">
      <c r="B39" s="123" t="s">
        <v>1187</v>
      </c>
    </row>
    <row r="40" spans="2:6">
      <c r="B40" s="123" t="s">
        <v>1178</v>
      </c>
    </row>
    <row r="41" spans="2:6">
      <c r="B41" s="123" t="s">
        <v>1420</v>
      </c>
    </row>
    <row r="42" spans="2:6">
      <c r="B42" s="123" t="s">
        <v>1421</v>
      </c>
    </row>
    <row r="43" spans="2:6">
      <c r="B43" s="123" t="s">
        <v>1422</v>
      </c>
    </row>
    <row r="44" spans="2:6">
      <c r="B44" s="123" t="s">
        <v>1423</v>
      </c>
    </row>
    <row r="45" spans="2:6">
      <c r="B45" s="864" t="s">
        <v>1558</v>
      </c>
      <c r="C45" s="864"/>
      <c r="D45" s="864"/>
      <c r="E45" s="864"/>
      <c r="F45" s="864"/>
    </row>
  </sheetData>
  <sheetProtection formatCells="0" formatColumns="0" formatRows="0" insertHyperlinks="0"/>
  <mergeCells count="2">
    <mergeCell ref="B2:F2"/>
    <mergeCell ref="B45:F45"/>
  </mergeCells>
  <hyperlinks>
    <hyperlink ref="B6" location="'3.1 Safety targets'!B6" display="3.1.1 - Safety KPI #1: Level of Effectiveness of Safety Management achieved by ANSPs" xr:uid="{00000000-0004-0000-1700-000000000000}"/>
    <hyperlink ref="B9" location="'3.2 Environment targets'!B4" display="3.2.1 - Environment KPI #1: Horizontal en route flight efficiency (KEA)" xr:uid="{00000000-0004-0000-1700-000001000000}"/>
    <hyperlink ref="B12" location="'3.3.1 En route'!B4" display="3.3.1 - Capacity KPI #1: En route ATFM delay per flight" xr:uid="{00000000-0004-0000-1700-000002000000}"/>
    <hyperlink ref="B13" location="'3.3.2 Terminal'!B2" display="3.3.2 - Capacity KPI #2: Terminal and airport ANS ATFM arrival delay per flight" xr:uid="{00000000-0004-0000-1700-000003000000}"/>
    <hyperlink ref="B28" location="'3.6 Interdependencies'!B4" display="3.6.1 - Interdependencies and trade-offs between safety and other KPAs" xr:uid="{00000000-0004-0000-1700-000004000000}"/>
    <hyperlink ref="B29" location="'3.6 Interdependencies'!B23" display="3.6.2 - Interdependencies and trade-offs between capacity and environment" xr:uid="{00000000-0004-0000-1700-000005000000}"/>
    <hyperlink ref="B30" location="'3.6 Interdependencies'!B27" display="3.6.3 - Interdependencies and trade-offs between cost-efficiency and capacity" xr:uid="{00000000-0004-0000-1700-000006000000}"/>
    <hyperlink ref="B31" location="'3.6 Interdependencies'!B31" display="3.6.4 - Other interdependencies and trade-offs " xr:uid="{00000000-0004-0000-1700-000007000000}"/>
    <hyperlink ref="B20" location="'3.4.3 Pensions'!B2" display="3.4.3 - Pension assumptions" xr:uid="{00000000-0004-0000-1700-000008000000}"/>
    <hyperlink ref="B21" location="'3.4.4 Interest rates'!B2" display="3.4.4 - Interest rate assumptions for loans financing the provision of air navigation services" xr:uid="{00000000-0004-0000-1700-000009000000}"/>
    <hyperlink ref="B22" location="'3.4.5 Restructuring costs'!B2" display="3.4.5 - Restructuring costs" xr:uid="{00000000-0004-0000-1700-00000A000000}"/>
    <hyperlink ref="B23" location="'3.4.6 Add. capacity measures'!B2" display="3.4.6 - Additional determined costs related to measures necessary to achieve the en route capacity targets" xr:uid="{00000000-0004-0000-1700-00000B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1">
    <tabColor theme="1"/>
    <pageSetUpPr fitToPage="1"/>
  </sheetPr>
  <dimension ref="A1:G28"/>
  <sheetViews>
    <sheetView showGridLines="0"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7" width="9.140625" style="10"/>
    <col min="8" max="8" width="34.42578125" style="10" customWidth="1"/>
    <col min="9" max="9" width="42.7109375" style="10" customWidth="1"/>
    <col min="10" max="16384" width="9.140625" style="10"/>
  </cols>
  <sheetData>
    <row r="1" spans="1:7" s="9" customFormat="1">
      <c r="A1" s="8"/>
      <c r="C1" s="36"/>
      <c r="D1" s="37"/>
    </row>
    <row r="2" spans="1:7" ht="21">
      <c r="A2" s="104"/>
      <c r="B2" s="621" t="s">
        <v>1048</v>
      </c>
      <c r="C2" s="621"/>
      <c r="D2" s="621"/>
      <c r="E2" s="621"/>
      <c r="F2" s="621"/>
    </row>
    <row r="3" spans="1:7">
      <c r="B3" s="138"/>
      <c r="C3" s="139"/>
      <c r="D3" s="140"/>
      <c r="E3" s="138"/>
      <c r="F3" s="138"/>
    </row>
    <row r="4" spans="1:7">
      <c r="B4"/>
      <c r="C4"/>
      <c r="D4"/>
      <c r="E4"/>
      <c r="F4"/>
      <c r="G4"/>
    </row>
    <row r="5" spans="1:7" ht="15" customHeight="1">
      <c r="B5" s="76" t="s">
        <v>1046</v>
      </c>
      <c r="C5"/>
      <c r="D5"/>
      <c r="E5"/>
      <c r="F5"/>
      <c r="G5"/>
    </row>
    <row r="6" spans="1:7" ht="25.5" customHeight="1">
      <c r="B6" s="111" t="s">
        <v>1047</v>
      </c>
      <c r="C6"/>
      <c r="D6"/>
      <c r="E6"/>
      <c r="F6"/>
      <c r="G6"/>
    </row>
    <row r="7" spans="1:7">
      <c r="B7" s="345" t="s">
        <v>694</v>
      </c>
      <c r="C7"/>
      <c r="D7"/>
      <c r="E7"/>
      <c r="F7"/>
      <c r="G7"/>
    </row>
    <row r="8" spans="1:7">
      <c r="B8" s="345" t="s">
        <v>1419</v>
      </c>
      <c r="C8"/>
      <c r="D8"/>
      <c r="E8"/>
      <c r="F8"/>
      <c r="G8"/>
    </row>
    <row r="9" spans="1:7">
      <c r="B9" s="345" t="s">
        <v>1418</v>
      </c>
      <c r="C9"/>
      <c r="D9"/>
      <c r="E9"/>
      <c r="F9"/>
      <c r="G9"/>
    </row>
    <row r="10" spans="1:7">
      <c r="B10"/>
      <c r="C10"/>
      <c r="D10"/>
      <c r="E10"/>
      <c r="F10"/>
      <c r="G10"/>
    </row>
    <row r="11" spans="1:7">
      <c r="B11" s="124" t="s">
        <v>1183</v>
      </c>
      <c r="C11"/>
      <c r="D11"/>
      <c r="E11"/>
      <c r="F11"/>
      <c r="G11"/>
    </row>
    <row r="12" spans="1:7">
      <c r="B12" s="123" t="s">
        <v>1420</v>
      </c>
      <c r="C12"/>
      <c r="D12"/>
      <c r="E12"/>
      <c r="F12"/>
      <c r="G12"/>
    </row>
    <row r="13" spans="1:7">
      <c r="B13"/>
      <c r="C13"/>
      <c r="D13"/>
      <c r="E13"/>
      <c r="F13"/>
      <c r="G13"/>
    </row>
    <row r="14" spans="1:7">
      <c r="B14"/>
      <c r="C14"/>
      <c r="D14"/>
      <c r="E14"/>
      <c r="F14"/>
      <c r="G14"/>
    </row>
    <row r="15" spans="1:7" customFormat="1"/>
    <row r="16" spans="1:7" customFormat="1"/>
    <row r="17" spans="2:6" customFormat="1"/>
    <row r="18" spans="2:6" customFormat="1"/>
    <row r="19" spans="2:6">
      <c r="B19"/>
      <c r="C19"/>
      <c r="D19"/>
      <c r="E19"/>
      <c r="F19"/>
    </row>
    <row r="20" spans="2:6" ht="30.75" customHeight="1">
      <c r="B20"/>
      <c r="C20"/>
      <c r="D20"/>
      <c r="E20"/>
      <c r="F20"/>
    </row>
    <row r="21" spans="2:6">
      <c r="B21"/>
      <c r="C21"/>
      <c r="D21"/>
      <c r="E21"/>
      <c r="F21"/>
    </row>
    <row r="22" spans="2:6">
      <c r="B22"/>
      <c r="C22"/>
      <c r="D22"/>
      <c r="E22"/>
      <c r="F22"/>
    </row>
    <row r="23" spans="2:6">
      <c r="B23"/>
      <c r="C23"/>
      <c r="D23"/>
      <c r="E23"/>
      <c r="F23"/>
    </row>
    <row r="24" spans="2:6">
      <c r="B24"/>
      <c r="C24"/>
      <c r="D24"/>
      <c r="E24"/>
      <c r="F24"/>
    </row>
    <row r="25" spans="2:6">
      <c r="B25"/>
      <c r="C25"/>
      <c r="D25"/>
      <c r="E25"/>
      <c r="F25"/>
    </row>
    <row r="26" spans="2:6">
      <c r="B26"/>
      <c r="C26"/>
      <c r="D26"/>
      <c r="E26"/>
      <c r="F26"/>
    </row>
    <row r="27" spans="2:6">
      <c r="B27"/>
      <c r="C27"/>
      <c r="D27"/>
      <c r="E27"/>
      <c r="F27"/>
    </row>
    <row r="28" spans="2:6">
      <c r="B28"/>
      <c r="C28"/>
      <c r="D28"/>
      <c r="E28"/>
      <c r="F28"/>
    </row>
  </sheetData>
  <sheetProtection formatCells="0" formatColumns="0" formatRows="0" insertHyperlinks="0"/>
  <mergeCells count="1">
    <mergeCell ref="B2:F2"/>
  </mergeCells>
  <hyperlinks>
    <hyperlink ref="B6" location="'3.1 Safety targets'!B6" display="3.1.1 - Safety KPI #1: Level of Effectiveness of Safety Management achieved by ANSPs" xr:uid="{00000000-0004-0000-1800-000000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71">
    <tabColor theme="2" tint="-0.249977111117893"/>
    <pageSetUpPr fitToPage="1"/>
  </sheetPr>
  <dimension ref="A2:O110"/>
  <sheetViews>
    <sheetView showGridLines="0" zoomScale="87" zoomScaleNormal="87" workbookViewId="0">
      <selection activeCell="B109" sqref="B109:J109"/>
    </sheetView>
  </sheetViews>
  <sheetFormatPr defaultColWidth="9.140625" defaultRowHeight="15"/>
  <cols>
    <col min="1" max="1" width="9.140625" style="4"/>
    <col min="2" max="2" width="17.7109375" style="4" customWidth="1"/>
    <col min="3" max="3" width="44.7109375" style="4" customWidth="1"/>
    <col min="4" max="10" width="11.85546875" style="4" customWidth="1"/>
    <col min="11" max="11" width="1.7109375" style="4" customWidth="1"/>
    <col min="12" max="16384" width="9.140625" style="4"/>
  </cols>
  <sheetData>
    <row r="2" spans="1:11" ht="21" customHeight="1">
      <c r="A2" s="106"/>
      <c r="B2" s="120" t="s">
        <v>226</v>
      </c>
      <c r="C2" s="120"/>
      <c r="D2" s="120"/>
      <c r="E2" s="120"/>
      <c r="F2" s="120"/>
      <c r="G2" s="120"/>
      <c r="H2" s="120"/>
      <c r="I2" s="120"/>
      <c r="J2" s="120"/>
    </row>
    <row r="3" spans="1:11">
      <c r="B3" s="132"/>
      <c r="C3" s="132"/>
      <c r="D3" s="132"/>
      <c r="E3" s="132"/>
      <c r="F3" s="132"/>
      <c r="G3" s="132"/>
      <c r="H3" s="132"/>
      <c r="I3" s="132"/>
      <c r="J3" s="132"/>
    </row>
    <row r="4" spans="1:11" ht="18.75" customHeight="1">
      <c r="B4" s="42" t="s">
        <v>1046</v>
      </c>
      <c r="C4" s="42"/>
    </row>
    <row r="6" spans="1:11" ht="15.75" customHeight="1" thickBot="1">
      <c r="B6" s="32" t="s">
        <v>1047</v>
      </c>
      <c r="C6" s="32"/>
      <c r="D6" s="32"/>
      <c r="E6" s="32"/>
      <c r="F6" s="32"/>
      <c r="G6" s="32"/>
      <c r="H6" s="32"/>
      <c r="I6" s="32"/>
      <c r="J6" s="32"/>
    </row>
    <row r="7" spans="1:11">
      <c r="B7" s="143"/>
      <c r="C7" s="143"/>
      <c r="D7" s="143"/>
      <c r="E7" s="143"/>
      <c r="F7" s="143"/>
      <c r="G7" s="143"/>
      <c r="H7" s="143"/>
      <c r="I7" s="143"/>
      <c r="J7" s="143"/>
    </row>
    <row r="8" spans="1:11" ht="15.75">
      <c r="B8" s="50" t="s">
        <v>1557</v>
      </c>
      <c r="C8" s="223"/>
      <c r="D8" s="49"/>
      <c r="E8" s="49"/>
      <c r="F8" s="49"/>
      <c r="G8" s="49"/>
      <c r="H8" s="49"/>
      <c r="I8" s="49"/>
      <c r="J8" s="49"/>
    </row>
    <row r="9" spans="1:11" ht="15.75">
      <c r="B9" s="50"/>
      <c r="C9" s="51"/>
      <c r="D9" s="49"/>
      <c r="E9" s="49"/>
      <c r="F9" s="49"/>
      <c r="G9" s="49"/>
      <c r="H9" s="49"/>
      <c r="I9" s="49"/>
      <c r="J9" s="49"/>
    </row>
    <row r="10" spans="1:11">
      <c r="C10" s="320" t="s">
        <v>1496</v>
      </c>
      <c r="D10" s="867"/>
      <c r="E10" s="867"/>
      <c r="F10" s="867"/>
      <c r="G10" s="867"/>
      <c r="H10" s="867"/>
      <c r="I10" s="867"/>
      <c r="J10" s="868"/>
    </row>
    <row r="11" spans="1:11">
      <c r="B11" s="17"/>
      <c r="C11" s="17"/>
      <c r="D11" s="17"/>
      <c r="E11" s="17"/>
      <c r="F11" s="17"/>
      <c r="G11" s="17"/>
      <c r="H11" s="17"/>
      <c r="I11" s="17"/>
      <c r="J11" s="17"/>
      <c r="K11" s="17"/>
    </row>
    <row r="12" spans="1:11">
      <c r="B12" s="17"/>
      <c r="C12" s="17"/>
      <c r="D12" s="198">
        <v>2020</v>
      </c>
      <c r="E12" s="544" t="s">
        <v>1535</v>
      </c>
      <c r="F12" s="198">
        <v>2021</v>
      </c>
      <c r="G12" s="512" t="s">
        <v>1877</v>
      </c>
      <c r="H12" s="198">
        <v>2022</v>
      </c>
      <c r="I12" s="198">
        <v>2023</v>
      </c>
      <c r="J12" s="198">
        <v>2024</v>
      </c>
      <c r="K12" s="144"/>
    </row>
    <row r="13" spans="1:11">
      <c r="B13" s="343"/>
      <c r="C13" s="343"/>
      <c r="D13" s="198" t="s">
        <v>30</v>
      </c>
      <c r="E13" s="543" t="s">
        <v>1128</v>
      </c>
      <c r="F13" s="198" t="s">
        <v>30</v>
      </c>
      <c r="G13" s="543" t="s">
        <v>1128</v>
      </c>
      <c r="H13" s="198" t="s">
        <v>30</v>
      </c>
      <c r="I13" s="198" t="s">
        <v>30</v>
      </c>
      <c r="J13" s="198" t="s">
        <v>30</v>
      </c>
      <c r="K13" s="144"/>
    </row>
    <row r="14" spans="1:11" ht="15.75">
      <c r="B14" s="874" t="str">
        <f>INDEX(Table_State_ANSP[Safety_ANSP],MATCH(Signatories!$C$5,Table_State_ANSP[Country_Name],0))</f>
        <v>CYATS</v>
      </c>
      <c r="C14" s="133" t="s">
        <v>894</v>
      </c>
      <c r="D14" s="236" t="str">
        <f>IFERROR(INDEX([1]!Table_Safety_Targets[2020T],MATCH($B$14&amp;$C14,[1]!Table_Safety_Targets[Helper],0)),"-")</f>
        <v>-</v>
      </c>
      <c r="E14" s="542" t="s">
        <v>1717</v>
      </c>
      <c r="F14" s="606" t="s">
        <v>1715</v>
      </c>
      <c r="G14" s="542" t="s">
        <v>1717</v>
      </c>
      <c r="H14" s="606" t="s">
        <v>1715</v>
      </c>
      <c r="I14" s="606" t="s">
        <v>1715</v>
      </c>
      <c r="J14" s="607" t="s">
        <v>1715</v>
      </c>
      <c r="K14" s="144"/>
    </row>
    <row r="15" spans="1:11" ht="15.6" customHeight="1">
      <c r="B15" s="875"/>
      <c r="C15" s="133" t="s">
        <v>895</v>
      </c>
      <c r="D15" s="236" t="str">
        <f>IFERROR(INDEX([1]!Table_Safety_Targets[2020T],MATCH($B$14&amp;$C15,[1]!Table_Safety_Targets[Helper],0)),"-")</f>
        <v>-</v>
      </c>
      <c r="E15" s="542" t="s">
        <v>1715</v>
      </c>
      <c r="F15" s="606" t="s">
        <v>1718</v>
      </c>
      <c r="G15" s="542" t="s">
        <v>1715</v>
      </c>
      <c r="H15" s="606" t="s">
        <v>1718</v>
      </c>
      <c r="I15" s="606" t="s">
        <v>1718</v>
      </c>
      <c r="J15" s="607" t="s">
        <v>1718</v>
      </c>
      <c r="K15" s="144"/>
    </row>
    <row r="16" spans="1:11" ht="15.75">
      <c r="B16" s="875"/>
      <c r="C16" s="133" t="s">
        <v>896</v>
      </c>
      <c r="D16" s="236" t="str">
        <f>IFERROR(INDEX([1]!Table_Safety_Targets[2020T],MATCH($B$14&amp;$C16,[1]!Table_Safety_Targets[Helper],0)),"-")</f>
        <v>-</v>
      </c>
      <c r="E16" s="542" t="s">
        <v>1717</v>
      </c>
      <c r="F16" s="606" t="s">
        <v>1715</v>
      </c>
      <c r="G16" s="542" t="s">
        <v>1717</v>
      </c>
      <c r="H16" s="606" t="s">
        <v>1715</v>
      </c>
      <c r="I16" s="606" t="s">
        <v>1715</v>
      </c>
      <c r="J16" s="607" t="s">
        <v>1715</v>
      </c>
      <c r="K16" s="144"/>
    </row>
    <row r="17" spans="2:15" ht="15.75">
      <c r="B17" s="875"/>
      <c r="C17" s="133" t="s">
        <v>897</v>
      </c>
      <c r="D17" s="236" t="str">
        <f>IFERROR(INDEX([1]!Table_Safety_Targets[2020T],MATCH($B$14&amp;$C17,[1]!Table_Safety_Targets[Helper],0)),"-")</f>
        <v>-</v>
      </c>
      <c r="E17" s="542" t="s">
        <v>1717</v>
      </c>
      <c r="F17" s="606" t="s">
        <v>1715</v>
      </c>
      <c r="G17" s="542" t="s">
        <v>1717</v>
      </c>
      <c r="H17" s="606" t="s">
        <v>1715</v>
      </c>
      <c r="I17" s="606" t="s">
        <v>1715</v>
      </c>
      <c r="J17" s="607" t="s">
        <v>1715</v>
      </c>
      <c r="K17" s="144"/>
      <c r="O17" s="4" t="s">
        <v>1924</v>
      </c>
    </row>
    <row r="18" spans="2:15" ht="15.75">
      <c r="B18" s="875"/>
      <c r="C18" s="133" t="s">
        <v>898</v>
      </c>
      <c r="D18" s="236" t="str">
        <f>IFERROR(INDEX([1]!Table_Safety_Targets[2020T],MATCH($B$14&amp;$C18,[1]!Table_Safety_Targets[Helper],0)),"-")</f>
        <v>-</v>
      </c>
      <c r="E18" s="542" t="s">
        <v>1717</v>
      </c>
      <c r="F18" s="606" t="s">
        <v>1715</v>
      </c>
      <c r="G18" s="542" t="s">
        <v>1717</v>
      </c>
      <c r="H18" s="606" t="s">
        <v>1715</v>
      </c>
      <c r="I18" s="606" t="s">
        <v>1715</v>
      </c>
      <c r="J18" s="607" t="s">
        <v>1715</v>
      </c>
      <c r="K18" s="144"/>
    </row>
    <row r="19" spans="2:15" ht="47.45" customHeight="1">
      <c r="B19" s="875"/>
      <c r="C19" s="133" t="s">
        <v>23</v>
      </c>
      <c r="D19" s="869" t="s">
        <v>1898</v>
      </c>
      <c r="E19" s="869"/>
      <c r="F19" s="869"/>
      <c r="G19" s="869"/>
      <c r="H19" s="869"/>
      <c r="I19" s="869"/>
      <c r="J19" s="870"/>
      <c r="K19" s="144"/>
    </row>
    <row r="20" spans="2:15">
      <c r="B20" s="132"/>
      <c r="C20" s="132"/>
      <c r="D20" s="132"/>
      <c r="E20" s="132"/>
      <c r="F20" s="132"/>
      <c r="G20" s="132"/>
      <c r="H20" s="132"/>
      <c r="I20" s="132"/>
      <c r="J20" s="132"/>
    </row>
    <row r="21" spans="2:15" hidden="1">
      <c r="B21" s="17"/>
      <c r="C21" s="17"/>
      <c r="D21" s="409"/>
      <c r="E21" s="198">
        <v>2020</v>
      </c>
      <c r="F21" s="198"/>
      <c r="G21" s="198">
        <v>2021</v>
      </c>
      <c r="H21" s="198">
        <v>2022</v>
      </c>
      <c r="I21" s="198">
        <v>2023</v>
      </c>
      <c r="J21" s="198">
        <v>2024</v>
      </c>
      <c r="K21" s="144"/>
    </row>
    <row r="22" spans="2:15" hidden="1">
      <c r="B22" s="343"/>
      <c r="C22" s="343"/>
      <c r="D22" s="409"/>
      <c r="E22" s="198" t="s">
        <v>30</v>
      </c>
      <c r="F22" s="198"/>
      <c r="G22" s="198" t="s">
        <v>30</v>
      </c>
      <c r="H22" s="198" t="s">
        <v>30</v>
      </c>
      <c r="I22" s="198" t="s">
        <v>30</v>
      </c>
      <c r="J22" s="198" t="s">
        <v>30</v>
      </c>
      <c r="K22" s="144"/>
    </row>
    <row r="23" spans="2:15" hidden="1">
      <c r="B23" s="878"/>
      <c r="C23" s="133" t="s">
        <v>894</v>
      </c>
      <c r="D23" s="413"/>
      <c r="E23" s="236" t="str">
        <f>IFERROR(INDEX(Table_Safety_Targets[2020T],MATCH($B$23&amp;$C23,Table_Safety_Targets[Helper],0)),"-")</f>
        <v>-</v>
      </c>
      <c r="F23" s="236"/>
      <c r="G23" s="224" t="s">
        <v>207</v>
      </c>
      <c r="H23" s="224" t="s">
        <v>207</v>
      </c>
      <c r="I23" s="224" t="s">
        <v>207</v>
      </c>
      <c r="J23" s="224" t="s">
        <v>207</v>
      </c>
      <c r="K23" s="144"/>
    </row>
    <row r="24" spans="2:15" hidden="1">
      <c r="B24" s="879"/>
      <c r="C24" s="133" t="s">
        <v>895</v>
      </c>
      <c r="D24" s="413"/>
      <c r="E24" s="236" t="str">
        <f>IFERROR(INDEX(Table_Safety_Targets[2020T],MATCH($B$23&amp;$C24,Table_Safety_Targets[Helper],0)),"-")</f>
        <v>-</v>
      </c>
      <c r="F24" s="236"/>
      <c r="G24" s="224" t="s">
        <v>207</v>
      </c>
      <c r="H24" s="224" t="s">
        <v>207</v>
      </c>
      <c r="I24" s="224" t="s">
        <v>207</v>
      </c>
      <c r="J24" s="224" t="s">
        <v>207</v>
      </c>
      <c r="K24" s="144"/>
    </row>
    <row r="25" spans="2:15" hidden="1">
      <c r="B25" s="879"/>
      <c r="C25" s="133" t="s">
        <v>896</v>
      </c>
      <c r="D25" s="413"/>
      <c r="E25" s="236" t="str">
        <f>IFERROR(INDEX(Table_Safety_Targets[2020T],MATCH($B$23&amp;$C25,Table_Safety_Targets[Helper],0)),"-")</f>
        <v>-</v>
      </c>
      <c r="F25" s="236"/>
      <c r="G25" s="224" t="s">
        <v>207</v>
      </c>
      <c r="H25" s="224" t="s">
        <v>207</v>
      </c>
      <c r="I25" s="224" t="s">
        <v>207</v>
      </c>
      <c r="J25" s="224" t="s">
        <v>207</v>
      </c>
      <c r="K25" s="144"/>
    </row>
    <row r="26" spans="2:15" hidden="1">
      <c r="B26" s="879"/>
      <c r="C26" s="133" t="s">
        <v>897</v>
      </c>
      <c r="D26" s="413"/>
      <c r="E26" s="236" t="str">
        <f>IFERROR(INDEX(Table_Safety_Targets[2020T],MATCH($B$23&amp;$C26,Table_Safety_Targets[Helper],0)),"-")</f>
        <v>-</v>
      </c>
      <c r="F26" s="236"/>
      <c r="G26" s="224" t="s">
        <v>207</v>
      </c>
      <c r="H26" s="224" t="s">
        <v>207</v>
      </c>
      <c r="I26" s="224" t="s">
        <v>207</v>
      </c>
      <c r="J26" s="224" t="s">
        <v>207</v>
      </c>
      <c r="K26" s="144"/>
    </row>
    <row r="27" spans="2:15" hidden="1">
      <c r="B27" s="879"/>
      <c r="C27" s="133" t="s">
        <v>898</v>
      </c>
      <c r="D27" s="413"/>
      <c r="E27" s="236" t="str">
        <f>IFERROR(INDEX(Table_Safety_Targets[2020T],MATCH($B$23&amp;$C27,Table_Safety_Targets[Helper],0)),"-")</f>
        <v>-</v>
      </c>
      <c r="F27" s="236"/>
      <c r="G27" s="224" t="s">
        <v>207</v>
      </c>
      <c r="H27" s="224" t="s">
        <v>207</v>
      </c>
      <c r="I27" s="224" t="s">
        <v>207</v>
      </c>
      <c r="J27" s="224" t="s">
        <v>207</v>
      </c>
      <c r="K27" s="144"/>
    </row>
    <row r="28" spans="2:15" hidden="1">
      <c r="B28" s="879"/>
      <c r="C28" s="133" t="s">
        <v>23</v>
      </c>
      <c r="D28" s="865"/>
      <c r="E28" s="865"/>
      <c r="F28" s="865"/>
      <c r="G28" s="865"/>
      <c r="H28" s="865"/>
      <c r="I28" s="865"/>
      <c r="J28" s="866"/>
      <c r="K28" s="144"/>
    </row>
    <row r="29" spans="2:15" hidden="1">
      <c r="B29" s="132"/>
      <c r="C29" s="132"/>
      <c r="D29" s="132"/>
      <c r="E29" s="132"/>
      <c r="F29" s="132"/>
      <c r="G29" s="132"/>
      <c r="H29" s="132"/>
      <c r="I29" s="132"/>
      <c r="J29" s="132"/>
    </row>
    <row r="30" spans="2:15" hidden="1">
      <c r="B30" s="17"/>
      <c r="C30" s="17"/>
      <c r="D30" s="409"/>
      <c r="E30" s="198">
        <v>2020</v>
      </c>
      <c r="F30" s="198"/>
      <c r="G30" s="198">
        <v>2021</v>
      </c>
      <c r="H30" s="198">
        <v>2022</v>
      </c>
      <c r="I30" s="198">
        <v>2023</v>
      </c>
      <c r="J30" s="198">
        <v>2024</v>
      </c>
      <c r="K30" s="144"/>
    </row>
    <row r="31" spans="2:15" hidden="1">
      <c r="B31" s="343"/>
      <c r="C31" s="343"/>
      <c r="D31" s="409"/>
      <c r="E31" s="198" t="s">
        <v>30</v>
      </c>
      <c r="F31" s="198"/>
      <c r="G31" s="198" t="s">
        <v>30</v>
      </c>
      <c r="H31" s="198" t="s">
        <v>30</v>
      </c>
      <c r="I31" s="198" t="s">
        <v>30</v>
      </c>
      <c r="J31" s="198" t="s">
        <v>30</v>
      </c>
      <c r="K31" s="144"/>
    </row>
    <row r="32" spans="2:15" hidden="1">
      <c r="B32" s="878"/>
      <c r="C32" s="133" t="s">
        <v>894</v>
      </c>
      <c r="D32" s="413"/>
      <c r="E32" s="236" t="str">
        <f>IFERROR(INDEX(Table_Safety_Targets[2020T],MATCH($B$32&amp;$C32,Table_Safety_Targets[Helper],0)),"-")</f>
        <v>-</v>
      </c>
      <c r="F32" s="236"/>
      <c r="G32" s="224" t="s">
        <v>207</v>
      </c>
      <c r="H32" s="224" t="s">
        <v>207</v>
      </c>
      <c r="I32" s="224" t="s">
        <v>207</v>
      </c>
      <c r="J32" s="224" t="s">
        <v>207</v>
      </c>
      <c r="K32" s="144"/>
    </row>
    <row r="33" spans="2:11" hidden="1">
      <c r="B33" s="879"/>
      <c r="C33" s="133" t="s">
        <v>895</v>
      </c>
      <c r="D33" s="413"/>
      <c r="E33" s="236" t="str">
        <f>IFERROR(INDEX(Table_Safety_Targets[2020T],MATCH($B$32&amp;$C33,Table_Safety_Targets[Helper],0)),"-")</f>
        <v>-</v>
      </c>
      <c r="F33" s="236"/>
      <c r="G33" s="224" t="s">
        <v>207</v>
      </c>
      <c r="H33" s="224" t="s">
        <v>207</v>
      </c>
      <c r="I33" s="224" t="s">
        <v>207</v>
      </c>
      <c r="J33" s="224" t="s">
        <v>207</v>
      </c>
      <c r="K33" s="144"/>
    </row>
    <row r="34" spans="2:11" hidden="1">
      <c r="B34" s="879"/>
      <c r="C34" s="133" t="s">
        <v>896</v>
      </c>
      <c r="D34" s="413"/>
      <c r="E34" s="236" t="str">
        <f>IFERROR(INDEX(Table_Safety_Targets[2020T],MATCH($B$32&amp;$C34,Table_Safety_Targets[Helper],0)),"-")</f>
        <v>-</v>
      </c>
      <c r="F34" s="236"/>
      <c r="G34" s="224" t="s">
        <v>207</v>
      </c>
      <c r="H34" s="224" t="s">
        <v>207</v>
      </c>
      <c r="I34" s="224" t="s">
        <v>207</v>
      </c>
      <c r="J34" s="224" t="s">
        <v>207</v>
      </c>
      <c r="K34" s="144"/>
    </row>
    <row r="35" spans="2:11" hidden="1">
      <c r="B35" s="879"/>
      <c r="C35" s="133" t="s">
        <v>897</v>
      </c>
      <c r="D35" s="413"/>
      <c r="E35" s="236" t="str">
        <f>IFERROR(INDEX(Table_Safety_Targets[2020T],MATCH($B$32&amp;$C35,Table_Safety_Targets[Helper],0)),"-")</f>
        <v>-</v>
      </c>
      <c r="F35" s="236"/>
      <c r="G35" s="224" t="s">
        <v>207</v>
      </c>
      <c r="H35" s="224" t="s">
        <v>207</v>
      </c>
      <c r="I35" s="224" t="s">
        <v>207</v>
      </c>
      <c r="J35" s="224" t="s">
        <v>207</v>
      </c>
      <c r="K35" s="144"/>
    </row>
    <row r="36" spans="2:11" hidden="1">
      <c r="B36" s="879"/>
      <c r="C36" s="133" t="s">
        <v>898</v>
      </c>
      <c r="D36" s="413"/>
      <c r="E36" s="236" t="str">
        <f>IFERROR(INDEX(Table_Safety_Targets[2020T],MATCH($B$32&amp;$C36,Table_Safety_Targets[Helper],0)),"-")</f>
        <v>-</v>
      </c>
      <c r="F36" s="236"/>
      <c r="G36" s="224" t="s">
        <v>207</v>
      </c>
      <c r="H36" s="224" t="s">
        <v>207</v>
      </c>
      <c r="I36" s="224" t="s">
        <v>207</v>
      </c>
      <c r="J36" s="224" t="s">
        <v>207</v>
      </c>
      <c r="K36" s="144"/>
    </row>
    <row r="37" spans="2:11" hidden="1">
      <c r="B37" s="879"/>
      <c r="C37" s="133" t="s">
        <v>23</v>
      </c>
      <c r="D37" s="865"/>
      <c r="E37" s="865"/>
      <c r="F37" s="865"/>
      <c r="G37" s="865"/>
      <c r="H37" s="865"/>
      <c r="I37" s="865"/>
      <c r="J37" s="866"/>
      <c r="K37" s="144"/>
    </row>
    <row r="38" spans="2:11" hidden="1">
      <c r="B38" s="132"/>
      <c r="C38" s="132"/>
      <c r="D38" s="132"/>
      <c r="E38" s="132"/>
      <c r="F38" s="132"/>
      <c r="G38" s="132"/>
      <c r="H38" s="132"/>
      <c r="I38" s="132"/>
      <c r="J38" s="132"/>
    </row>
    <row r="39" spans="2:11" hidden="1">
      <c r="B39" s="17"/>
      <c r="C39" s="17"/>
      <c r="D39" s="409"/>
      <c r="E39" s="198">
        <v>2020</v>
      </c>
      <c r="F39" s="198"/>
      <c r="G39" s="198">
        <v>2021</v>
      </c>
      <c r="H39" s="198">
        <v>2022</v>
      </c>
      <c r="I39" s="198">
        <v>2023</v>
      </c>
      <c r="J39" s="198">
        <v>2024</v>
      </c>
      <c r="K39" s="144"/>
    </row>
    <row r="40" spans="2:11" hidden="1">
      <c r="B40" s="343"/>
      <c r="C40" s="343"/>
      <c r="D40" s="409"/>
      <c r="E40" s="198" t="s">
        <v>30</v>
      </c>
      <c r="F40" s="198"/>
      <c r="G40" s="198" t="s">
        <v>30</v>
      </c>
      <c r="H40" s="198" t="s">
        <v>30</v>
      </c>
      <c r="I40" s="198" t="s">
        <v>30</v>
      </c>
      <c r="J40" s="198" t="s">
        <v>30</v>
      </c>
      <c r="K40" s="144"/>
    </row>
    <row r="41" spans="2:11" hidden="1">
      <c r="B41" s="878"/>
      <c r="C41" s="133" t="s">
        <v>894</v>
      </c>
      <c r="D41" s="413"/>
      <c r="E41" s="236" t="str">
        <f>IFERROR(INDEX(Table_Safety_Targets[2020T],MATCH($B$41&amp;$C41,Table_Safety_Targets[Helper],0)),"-")</f>
        <v>-</v>
      </c>
      <c r="F41" s="236"/>
      <c r="G41" s="224" t="s">
        <v>207</v>
      </c>
      <c r="H41" s="224" t="s">
        <v>207</v>
      </c>
      <c r="I41" s="224" t="s">
        <v>207</v>
      </c>
      <c r="J41" s="224" t="s">
        <v>207</v>
      </c>
      <c r="K41" s="144"/>
    </row>
    <row r="42" spans="2:11" hidden="1">
      <c r="B42" s="879"/>
      <c r="C42" s="133" t="s">
        <v>895</v>
      </c>
      <c r="D42" s="413"/>
      <c r="E42" s="236" t="str">
        <f>IFERROR(INDEX(Table_Safety_Targets[2020T],MATCH($B$41&amp;$C42,Table_Safety_Targets[Helper],0)),"-")</f>
        <v>-</v>
      </c>
      <c r="F42" s="236"/>
      <c r="G42" s="224" t="s">
        <v>207</v>
      </c>
      <c r="H42" s="224" t="s">
        <v>207</v>
      </c>
      <c r="I42" s="224" t="s">
        <v>207</v>
      </c>
      <c r="J42" s="224" t="s">
        <v>207</v>
      </c>
      <c r="K42" s="144"/>
    </row>
    <row r="43" spans="2:11" hidden="1">
      <c r="B43" s="879"/>
      <c r="C43" s="133" t="s">
        <v>896</v>
      </c>
      <c r="D43" s="413"/>
      <c r="E43" s="236" t="str">
        <f>IFERROR(INDEX(Table_Safety_Targets[2020T],MATCH($B$41&amp;$C43,Table_Safety_Targets[Helper],0)),"-")</f>
        <v>-</v>
      </c>
      <c r="F43" s="236"/>
      <c r="G43" s="224" t="s">
        <v>207</v>
      </c>
      <c r="H43" s="224" t="s">
        <v>207</v>
      </c>
      <c r="I43" s="224" t="s">
        <v>207</v>
      </c>
      <c r="J43" s="224" t="s">
        <v>207</v>
      </c>
      <c r="K43" s="144"/>
    </row>
    <row r="44" spans="2:11" hidden="1">
      <c r="B44" s="879"/>
      <c r="C44" s="133" t="s">
        <v>897</v>
      </c>
      <c r="D44" s="413"/>
      <c r="E44" s="236" t="str">
        <f>IFERROR(INDEX(Table_Safety_Targets[2020T],MATCH($B$41&amp;$C44,Table_Safety_Targets[Helper],0)),"-")</f>
        <v>-</v>
      </c>
      <c r="F44" s="236"/>
      <c r="G44" s="224" t="s">
        <v>207</v>
      </c>
      <c r="H44" s="224" t="s">
        <v>207</v>
      </c>
      <c r="I44" s="224" t="s">
        <v>207</v>
      </c>
      <c r="J44" s="224" t="s">
        <v>207</v>
      </c>
      <c r="K44" s="144"/>
    </row>
    <row r="45" spans="2:11" hidden="1">
      <c r="B45" s="879"/>
      <c r="C45" s="133" t="s">
        <v>898</v>
      </c>
      <c r="D45" s="413"/>
      <c r="E45" s="236" t="str">
        <f>IFERROR(INDEX(Table_Safety_Targets[2020T],MATCH($B$41&amp;$C45,Table_Safety_Targets[Helper],0)),"-")</f>
        <v>-</v>
      </c>
      <c r="F45" s="236"/>
      <c r="G45" s="224" t="s">
        <v>207</v>
      </c>
      <c r="H45" s="224" t="s">
        <v>207</v>
      </c>
      <c r="I45" s="224" t="s">
        <v>207</v>
      </c>
      <c r="J45" s="224" t="s">
        <v>207</v>
      </c>
      <c r="K45" s="144"/>
    </row>
    <row r="46" spans="2:11" hidden="1">
      <c r="B46" s="879"/>
      <c r="C46" s="133" t="s">
        <v>23</v>
      </c>
      <c r="D46" s="865"/>
      <c r="E46" s="865"/>
      <c r="F46" s="865"/>
      <c r="G46" s="865"/>
      <c r="H46" s="865"/>
      <c r="I46" s="865"/>
      <c r="J46" s="866"/>
      <c r="K46" s="144"/>
    </row>
    <row r="47" spans="2:11" hidden="1">
      <c r="B47" s="132"/>
      <c r="C47" s="132"/>
      <c r="D47" s="132"/>
      <c r="E47" s="132"/>
      <c r="F47" s="132"/>
      <c r="G47" s="132"/>
      <c r="H47" s="132"/>
      <c r="I47" s="132"/>
      <c r="J47" s="132"/>
    </row>
    <row r="48" spans="2:11" hidden="1">
      <c r="B48" s="17"/>
      <c r="C48" s="17"/>
      <c r="D48" s="409"/>
      <c r="E48" s="198">
        <v>2020</v>
      </c>
      <c r="F48" s="198"/>
      <c r="G48" s="198">
        <v>2021</v>
      </c>
      <c r="H48" s="198">
        <v>2022</v>
      </c>
      <c r="I48" s="198">
        <v>2023</v>
      </c>
      <c r="J48" s="198">
        <v>2024</v>
      </c>
      <c r="K48" s="144"/>
    </row>
    <row r="49" spans="2:11" hidden="1">
      <c r="B49" s="343"/>
      <c r="C49" s="343"/>
      <c r="D49" s="409"/>
      <c r="E49" s="198" t="s">
        <v>30</v>
      </c>
      <c r="F49" s="198"/>
      <c r="G49" s="198" t="s">
        <v>30</v>
      </c>
      <c r="H49" s="198" t="s">
        <v>30</v>
      </c>
      <c r="I49" s="198" t="s">
        <v>30</v>
      </c>
      <c r="J49" s="198" t="s">
        <v>30</v>
      </c>
      <c r="K49" s="144"/>
    </row>
    <row r="50" spans="2:11" hidden="1">
      <c r="B50" s="878"/>
      <c r="C50" s="133" t="s">
        <v>894</v>
      </c>
      <c r="D50" s="413"/>
      <c r="E50" s="236" t="str">
        <f>IFERROR(INDEX(Table_Safety_Targets[2020T],MATCH($B$50&amp;$C50,Table_Safety_Targets[Helper],0)),"-")</f>
        <v>-</v>
      </c>
      <c r="F50" s="236"/>
      <c r="G50" s="224" t="s">
        <v>207</v>
      </c>
      <c r="H50" s="224" t="s">
        <v>207</v>
      </c>
      <c r="I50" s="224" t="s">
        <v>207</v>
      </c>
      <c r="J50" s="224" t="s">
        <v>207</v>
      </c>
      <c r="K50" s="144"/>
    </row>
    <row r="51" spans="2:11" hidden="1">
      <c r="B51" s="879"/>
      <c r="C51" s="133" t="s">
        <v>895</v>
      </c>
      <c r="D51" s="413"/>
      <c r="E51" s="236" t="str">
        <f>IFERROR(INDEX(Table_Safety_Targets[2020T],MATCH($B$50&amp;$C51,Table_Safety_Targets[Helper],0)),"-")</f>
        <v>-</v>
      </c>
      <c r="F51" s="236"/>
      <c r="G51" s="224" t="s">
        <v>207</v>
      </c>
      <c r="H51" s="224" t="s">
        <v>207</v>
      </c>
      <c r="I51" s="224" t="s">
        <v>207</v>
      </c>
      <c r="J51" s="224" t="s">
        <v>207</v>
      </c>
      <c r="K51" s="144"/>
    </row>
    <row r="52" spans="2:11" hidden="1">
      <c r="B52" s="879"/>
      <c r="C52" s="133" t="s">
        <v>896</v>
      </c>
      <c r="D52" s="413"/>
      <c r="E52" s="236" t="str">
        <f>IFERROR(INDEX(Table_Safety_Targets[2020T],MATCH($B$50&amp;$C52,Table_Safety_Targets[Helper],0)),"-")</f>
        <v>-</v>
      </c>
      <c r="F52" s="236"/>
      <c r="G52" s="224" t="s">
        <v>207</v>
      </c>
      <c r="H52" s="224" t="s">
        <v>207</v>
      </c>
      <c r="I52" s="224" t="s">
        <v>207</v>
      </c>
      <c r="J52" s="224" t="s">
        <v>207</v>
      </c>
      <c r="K52" s="144"/>
    </row>
    <row r="53" spans="2:11" hidden="1">
      <c r="B53" s="879"/>
      <c r="C53" s="133" t="s">
        <v>897</v>
      </c>
      <c r="D53" s="413"/>
      <c r="E53" s="236" t="str">
        <f>IFERROR(INDEX(Table_Safety_Targets[2020T],MATCH($B$50&amp;$C53,Table_Safety_Targets[Helper],0)),"-")</f>
        <v>-</v>
      </c>
      <c r="F53" s="236"/>
      <c r="G53" s="224" t="s">
        <v>207</v>
      </c>
      <c r="H53" s="224" t="s">
        <v>207</v>
      </c>
      <c r="I53" s="224" t="s">
        <v>207</v>
      </c>
      <c r="J53" s="224" t="s">
        <v>207</v>
      </c>
      <c r="K53" s="144"/>
    </row>
    <row r="54" spans="2:11" hidden="1">
      <c r="B54" s="879"/>
      <c r="C54" s="133" t="s">
        <v>898</v>
      </c>
      <c r="D54" s="413"/>
      <c r="E54" s="236" t="str">
        <f>IFERROR(INDEX(Table_Safety_Targets[2020T],MATCH($B$50&amp;$C54,Table_Safety_Targets[Helper],0)),"-")</f>
        <v>-</v>
      </c>
      <c r="F54" s="236"/>
      <c r="G54" s="224" t="s">
        <v>207</v>
      </c>
      <c r="H54" s="224" t="s">
        <v>207</v>
      </c>
      <c r="I54" s="224" t="s">
        <v>207</v>
      </c>
      <c r="J54" s="224" t="s">
        <v>207</v>
      </c>
      <c r="K54" s="144"/>
    </row>
    <row r="55" spans="2:11" hidden="1">
      <c r="B55" s="879"/>
      <c r="C55" s="133" t="s">
        <v>23</v>
      </c>
      <c r="D55" s="865"/>
      <c r="E55" s="865"/>
      <c r="F55" s="865"/>
      <c r="G55" s="865"/>
      <c r="H55" s="865"/>
      <c r="I55" s="865"/>
      <c r="J55" s="866"/>
      <c r="K55" s="144"/>
    </row>
    <row r="56" spans="2:11" hidden="1">
      <c r="B56" s="132"/>
      <c r="C56" s="132"/>
      <c r="D56" s="132"/>
      <c r="E56" s="132"/>
      <c r="F56" s="132"/>
      <c r="G56" s="132"/>
      <c r="H56" s="132"/>
      <c r="I56" s="132"/>
      <c r="J56" s="132"/>
    </row>
    <row r="57" spans="2:11" hidden="1">
      <c r="B57" s="17"/>
      <c r="C57" s="17"/>
      <c r="D57" s="409"/>
      <c r="E57" s="198">
        <v>2020</v>
      </c>
      <c r="F57" s="198"/>
      <c r="G57" s="198">
        <v>2021</v>
      </c>
      <c r="H57" s="198">
        <v>2022</v>
      </c>
      <c r="I57" s="198">
        <v>2023</v>
      </c>
      <c r="J57" s="198">
        <v>2024</v>
      </c>
      <c r="K57" s="144"/>
    </row>
    <row r="58" spans="2:11" hidden="1">
      <c r="B58" s="343"/>
      <c r="C58" s="343"/>
      <c r="D58" s="409"/>
      <c r="E58" s="198" t="s">
        <v>30</v>
      </c>
      <c r="F58" s="198"/>
      <c r="G58" s="198" t="s">
        <v>30</v>
      </c>
      <c r="H58" s="198" t="s">
        <v>30</v>
      </c>
      <c r="I58" s="198" t="s">
        <v>30</v>
      </c>
      <c r="J58" s="198" t="s">
        <v>30</v>
      </c>
      <c r="K58" s="144"/>
    </row>
    <row r="59" spans="2:11" hidden="1">
      <c r="B59" s="878"/>
      <c r="C59" s="133" t="s">
        <v>894</v>
      </c>
      <c r="D59" s="413"/>
      <c r="E59" s="236" t="str">
        <f>IFERROR(INDEX(Table_Safety_Targets[2020T],MATCH($B$59&amp;$C59,Table_Safety_Targets[Helper],0)),"-")</f>
        <v>-</v>
      </c>
      <c r="F59" s="236"/>
      <c r="G59" s="224" t="s">
        <v>207</v>
      </c>
      <c r="H59" s="224" t="s">
        <v>207</v>
      </c>
      <c r="I59" s="224" t="s">
        <v>207</v>
      </c>
      <c r="J59" s="224" t="s">
        <v>207</v>
      </c>
      <c r="K59" s="144"/>
    </row>
    <row r="60" spans="2:11" hidden="1">
      <c r="B60" s="879"/>
      <c r="C60" s="133" t="s">
        <v>895</v>
      </c>
      <c r="D60" s="413"/>
      <c r="E60" s="236" t="str">
        <f>IFERROR(INDEX(Table_Safety_Targets[2020T],MATCH($B$59&amp;$C60,Table_Safety_Targets[Helper],0)),"-")</f>
        <v>-</v>
      </c>
      <c r="F60" s="236"/>
      <c r="G60" s="224" t="s">
        <v>207</v>
      </c>
      <c r="H60" s="224" t="s">
        <v>207</v>
      </c>
      <c r="I60" s="224" t="s">
        <v>207</v>
      </c>
      <c r="J60" s="224" t="s">
        <v>207</v>
      </c>
      <c r="K60" s="144"/>
    </row>
    <row r="61" spans="2:11" hidden="1">
      <c r="B61" s="879"/>
      <c r="C61" s="133" t="s">
        <v>896</v>
      </c>
      <c r="D61" s="413"/>
      <c r="E61" s="236" t="str">
        <f>IFERROR(INDEX(Table_Safety_Targets[2020T],MATCH($B$59&amp;$C61,Table_Safety_Targets[Helper],0)),"-")</f>
        <v>-</v>
      </c>
      <c r="F61" s="236"/>
      <c r="G61" s="224" t="s">
        <v>207</v>
      </c>
      <c r="H61" s="224" t="s">
        <v>207</v>
      </c>
      <c r="I61" s="224" t="s">
        <v>207</v>
      </c>
      <c r="J61" s="224" t="s">
        <v>207</v>
      </c>
      <c r="K61" s="144"/>
    </row>
    <row r="62" spans="2:11" hidden="1">
      <c r="B62" s="879"/>
      <c r="C62" s="133" t="s">
        <v>897</v>
      </c>
      <c r="D62" s="413"/>
      <c r="E62" s="236" t="str">
        <f>IFERROR(INDEX(Table_Safety_Targets[2020T],MATCH($B$59&amp;$C62,Table_Safety_Targets[Helper],0)),"-")</f>
        <v>-</v>
      </c>
      <c r="F62" s="236"/>
      <c r="G62" s="224" t="s">
        <v>207</v>
      </c>
      <c r="H62" s="224" t="s">
        <v>207</v>
      </c>
      <c r="I62" s="224" t="s">
        <v>207</v>
      </c>
      <c r="J62" s="224" t="s">
        <v>207</v>
      </c>
      <c r="K62" s="144"/>
    </row>
    <row r="63" spans="2:11" hidden="1">
      <c r="B63" s="879"/>
      <c r="C63" s="133" t="s">
        <v>898</v>
      </c>
      <c r="D63" s="413"/>
      <c r="E63" s="236" t="str">
        <f>IFERROR(INDEX(Table_Safety_Targets[2020T],MATCH($B$59&amp;$C63,Table_Safety_Targets[Helper],0)),"-")</f>
        <v>-</v>
      </c>
      <c r="F63" s="236"/>
      <c r="G63" s="224" t="s">
        <v>207</v>
      </c>
      <c r="H63" s="224" t="s">
        <v>207</v>
      </c>
      <c r="I63" s="224" t="s">
        <v>207</v>
      </c>
      <c r="J63" s="224" t="s">
        <v>207</v>
      </c>
      <c r="K63" s="144"/>
    </row>
    <row r="64" spans="2:11" hidden="1">
      <c r="B64" s="879"/>
      <c r="C64" s="133" t="s">
        <v>23</v>
      </c>
      <c r="D64" s="865"/>
      <c r="E64" s="865"/>
      <c r="F64" s="865"/>
      <c r="G64" s="865"/>
      <c r="H64" s="865"/>
      <c r="I64" s="865"/>
      <c r="J64" s="866"/>
      <c r="K64" s="144"/>
    </row>
    <row r="65" spans="2:11" hidden="1">
      <c r="B65" s="132"/>
      <c r="C65" s="132"/>
      <c r="D65" s="132"/>
      <c r="E65" s="132"/>
      <c r="F65" s="132"/>
      <c r="G65" s="132"/>
      <c r="H65" s="132"/>
      <c r="I65" s="132"/>
      <c r="J65" s="132"/>
    </row>
    <row r="66" spans="2:11" hidden="1">
      <c r="B66" s="17"/>
      <c r="C66" s="17"/>
      <c r="D66" s="409"/>
      <c r="E66" s="198">
        <v>2020</v>
      </c>
      <c r="F66" s="198"/>
      <c r="G66" s="198">
        <v>2021</v>
      </c>
      <c r="H66" s="198">
        <v>2022</v>
      </c>
      <c r="I66" s="198">
        <v>2023</v>
      </c>
      <c r="J66" s="198">
        <v>2024</v>
      </c>
      <c r="K66" s="144"/>
    </row>
    <row r="67" spans="2:11" hidden="1">
      <c r="B67" s="343"/>
      <c r="C67" s="343"/>
      <c r="D67" s="409"/>
      <c r="E67" s="198" t="s">
        <v>30</v>
      </c>
      <c r="F67" s="198"/>
      <c r="G67" s="198" t="s">
        <v>30</v>
      </c>
      <c r="H67" s="198" t="s">
        <v>30</v>
      </c>
      <c r="I67" s="198" t="s">
        <v>30</v>
      </c>
      <c r="J67" s="198" t="s">
        <v>30</v>
      </c>
      <c r="K67" s="144"/>
    </row>
    <row r="68" spans="2:11" hidden="1">
      <c r="B68" s="878"/>
      <c r="C68" s="133" t="s">
        <v>894</v>
      </c>
      <c r="D68" s="413"/>
      <c r="E68" s="236" t="str">
        <f>IFERROR(INDEX(Table_Safety_Targets[2020T],MATCH($B$68&amp;$C68,Table_Safety_Targets[Helper],0)),"-")</f>
        <v>-</v>
      </c>
      <c r="F68" s="236"/>
      <c r="G68" s="224" t="s">
        <v>207</v>
      </c>
      <c r="H68" s="224" t="s">
        <v>207</v>
      </c>
      <c r="I68" s="224" t="s">
        <v>207</v>
      </c>
      <c r="J68" s="224" t="s">
        <v>207</v>
      </c>
      <c r="K68" s="144"/>
    </row>
    <row r="69" spans="2:11" hidden="1">
      <c r="B69" s="879"/>
      <c r="C69" s="133" t="s">
        <v>895</v>
      </c>
      <c r="D69" s="413"/>
      <c r="E69" s="236" t="str">
        <f>IFERROR(INDEX(Table_Safety_Targets[2020T],MATCH($B$68&amp;$C69,Table_Safety_Targets[Helper],0)),"-")</f>
        <v>-</v>
      </c>
      <c r="F69" s="236"/>
      <c r="G69" s="224" t="s">
        <v>207</v>
      </c>
      <c r="H69" s="224" t="s">
        <v>207</v>
      </c>
      <c r="I69" s="224" t="s">
        <v>207</v>
      </c>
      <c r="J69" s="224" t="s">
        <v>207</v>
      </c>
      <c r="K69" s="144"/>
    </row>
    <row r="70" spans="2:11" hidden="1">
      <c r="B70" s="879"/>
      <c r="C70" s="133" t="s">
        <v>896</v>
      </c>
      <c r="D70" s="413"/>
      <c r="E70" s="236" t="str">
        <f>IFERROR(INDEX(Table_Safety_Targets[2020T],MATCH($B$68&amp;$C70,Table_Safety_Targets[Helper],0)),"-")</f>
        <v>-</v>
      </c>
      <c r="F70" s="236"/>
      <c r="G70" s="224" t="s">
        <v>207</v>
      </c>
      <c r="H70" s="224" t="s">
        <v>207</v>
      </c>
      <c r="I70" s="224" t="s">
        <v>207</v>
      </c>
      <c r="J70" s="224" t="s">
        <v>207</v>
      </c>
      <c r="K70" s="144"/>
    </row>
    <row r="71" spans="2:11" hidden="1">
      <c r="B71" s="879"/>
      <c r="C71" s="133" t="s">
        <v>897</v>
      </c>
      <c r="D71" s="413"/>
      <c r="E71" s="236" t="str">
        <f>IFERROR(INDEX(Table_Safety_Targets[2020T],MATCH($B$68&amp;$C71,Table_Safety_Targets[Helper],0)),"-")</f>
        <v>-</v>
      </c>
      <c r="F71" s="236"/>
      <c r="G71" s="224" t="s">
        <v>207</v>
      </c>
      <c r="H71" s="224" t="s">
        <v>207</v>
      </c>
      <c r="I71" s="224" t="s">
        <v>207</v>
      </c>
      <c r="J71" s="224" t="s">
        <v>207</v>
      </c>
      <c r="K71" s="144"/>
    </row>
    <row r="72" spans="2:11" hidden="1">
      <c r="B72" s="879"/>
      <c r="C72" s="133" t="s">
        <v>898</v>
      </c>
      <c r="D72" s="413"/>
      <c r="E72" s="236" t="str">
        <f>IFERROR(INDEX(Table_Safety_Targets[2020T],MATCH($B$68&amp;$C72,Table_Safety_Targets[Helper],0)),"-")</f>
        <v>-</v>
      </c>
      <c r="F72" s="236"/>
      <c r="G72" s="224" t="s">
        <v>207</v>
      </c>
      <c r="H72" s="224" t="s">
        <v>207</v>
      </c>
      <c r="I72" s="224" t="s">
        <v>207</v>
      </c>
      <c r="J72" s="224" t="s">
        <v>207</v>
      </c>
      <c r="K72" s="144"/>
    </row>
    <row r="73" spans="2:11" hidden="1">
      <c r="B73" s="879"/>
      <c r="C73" s="133" t="s">
        <v>23</v>
      </c>
      <c r="D73" s="865"/>
      <c r="E73" s="865"/>
      <c r="F73" s="865"/>
      <c r="G73" s="865"/>
      <c r="H73" s="865"/>
      <c r="I73" s="865"/>
      <c r="J73" s="866"/>
      <c r="K73" s="144"/>
    </row>
    <row r="74" spans="2:11" hidden="1">
      <c r="B74" s="132"/>
      <c r="C74" s="132"/>
      <c r="D74" s="132"/>
      <c r="E74" s="132"/>
      <c r="F74" s="132"/>
      <c r="G74" s="132"/>
      <c r="H74" s="132"/>
      <c r="I74" s="132"/>
      <c r="J74" s="132"/>
    </row>
    <row r="75" spans="2:11" hidden="1">
      <c r="B75" s="17"/>
      <c r="C75" s="17"/>
      <c r="D75" s="409"/>
      <c r="E75" s="198">
        <v>2020</v>
      </c>
      <c r="F75" s="198"/>
      <c r="G75" s="198">
        <v>2021</v>
      </c>
      <c r="H75" s="198">
        <v>2022</v>
      </c>
      <c r="I75" s="198">
        <v>2023</v>
      </c>
      <c r="J75" s="198">
        <v>2024</v>
      </c>
      <c r="K75" s="144"/>
    </row>
    <row r="76" spans="2:11" hidden="1">
      <c r="B76" s="343"/>
      <c r="C76" s="343"/>
      <c r="D76" s="409"/>
      <c r="E76" s="198" t="s">
        <v>30</v>
      </c>
      <c r="F76" s="198"/>
      <c r="G76" s="198" t="s">
        <v>30</v>
      </c>
      <c r="H76" s="198" t="s">
        <v>30</v>
      </c>
      <c r="I76" s="198" t="s">
        <v>30</v>
      </c>
      <c r="J76" s="198" t="s">
        <v>30</v>
      </c>
      <c r="K76" s="144"/>
    </row>
    <row r="77" spans="2:11" hidden="1">
      <c r="B77" s="878"/>
      <c r="C77" s="133" t="s">
        <v>894</v>
      </c>
      <c r="D77" s="413"/>
      <c r="E77" s="236" t="str">
        <f>IFERROR(INDEX(Table_Safety_Targets[2020T],MATCH($B$77&amp;$C77,Table_Safety_Targets[Helper],0)),"-")</f>
        <v>-</v>
      </c>
      <c r="F77" s="236"/>
      <c r="G77" s="224" t="s">
        <v>207</v>
      </c>
      <c r="H77" s="224" t="s">
        <v>207</v>
      </c>
      <c r="I77" s="224" t="s">
        <v>207</v>
      </c>
      <c r="J77" s="224" t="s">
        <v>207</v>
      </c>
      <c r="K77" s="144"/>
    </row>
    <row r="78" spans="2:11" hidden="1">
      <c r="B78" s="879"/>
      <c r="C78" s="133" t="s">
        <v>895</v>
      </c>
      <c r="D78" s="413"/>
      <c r="E78" s="236" t="str">
        <f>IFERROR(INDEX(Table_Safety_Targets[2020T],MATCH($B$77&amp;$C78,Table_Safety_Targets[Helper],0)),"-")</f>
        <v>-</v>
      </c>
      <c r="F78" s="236"/>
      <c r="G78" s="224" t="s">
        <v>207</v>
      </c>
      <c r="H78" s="224" t="s">
        <v>207</v>
      </c>
      <c r="I78" s="224" t="s">
        <v>207</v>
      </c>
      <c r="J78" s="224" t="s">
        <v>207</v>
      </c>
      <c r="K78" s="144"/>
    </row>
    <row r="79" spans="2:11" hidden="1">
      <c r="B79" s="879"/>
      <c r="C79" s="133" t="s">
        <v>896</v>
      </c>
      <c r="D79" s="413"/>
      <c r="E79" s="236" t="str">
        <f>IFERROR(INDEX(Table_Safety_Targets[2020T],MATCH($B$77&amp;$C79,Table_Safety_Targets[Helper],0)),"-")</f>
        <v>-</v>
      </c>
      <c r="F79" s="236"/>
      <c r="G79" s="224" t="s">
        <v>207</v>
      </c>
      <c r="H79" s="224" t="s">
        <v>207</v>
      </c>
      <c r="I79" s="224" t="s">
        <v>207</v>
      </c>
      <c r="J79" s="224" t="s">
        <v>207</v>
      </c>
      <c r="K79" s="144"/>
    </row>
    <row r="80" spans="2:11" hidden="1">
      <c r="B80" s="879"/>
      <c r="C80" s="133" t="s">
        <v>897</v>
      </c>
      <c r="D80" s="413"/>
      <c r="E80" s="236" t="str">
        <f>IFERROR(INDEX(Table_Safety_Targets[2020T],MATCH($B$77&amp;$C80,Table_Safety_Targets[Helper],0)),"-")</f>
        <v>-</v>
      </c>
      <c r="F80" s="236"/>
      <c r="G80" s="224" t="s">
        <v>207</v>
      </c>
      <c r="H80" s="224" t="s">
        <v>207</v>
      </c>
      <c r="I80" s="224" t="s">
        <v>207</v>
      </c>
      <c r="J80" s="224" t="s">
        <v>207</v>
      </c>
      <c r="K80" s="144"/>
    </row>
    <row r="81" spans="2:11" hidden="1">
      <c r="B81" s="879"/>
      <c r="C81" s="133" t="s">
        <v>898</v>
      </c>
      <c r="D81" s="413"/>
      <c r="E81" s="236" t="str">
        <f>IFERROR(INDEX(Table_Safety_Targets[2020T],MATCH($B$77&amp;$C81,Table_Safety_Targets[Helper],0)),"-")</f>
        <v>-</v>
      </c>
      <c r="F81" s="236"/>
      <c r="G81" s="224" t="s">
        <v>207</v>
      </c>
      <c r="H81" s="224" t="s">
        <v>207</v>
      </c>
      <c r="I81" s="224" t="s">
        <v>207</v>
      </c>
      <c r="J81" s="224" t="s">
        <v>207</v>
      </c>
      <c r="K81" s="144"/>
    </row>
    <row r="82" spans="2:11" hidden="1">
      <c r="B82" s="879"/>
      <c r="C82" s="133" t="s">
        <v>23</v>
      </c>
      <c r="D82" s="865"/>
      <c r="E82" s="865"/>
      <c r="F82" s="865"/>
      <c r="G82" s="865"/>
      <c r="H82" s="865"/>
      <c r="I82" s="865"/>
      <c r="J82" s="866"/>
      <c r="K82" s="144"/>
    </row>
    <row r="83" spans="2:11" hidden="1">
      <c r="B83" s="132"/>
      <c r="C83" s="132"/>
      <c r="D83" s="132"/>
      <c r="E83" s="132"/>
      <c r="F83" s="132"/>
      <c r="G83" s="132"/>
      <c r="H83" s="132"/>
      <c r="I83" s="132"/>
      <c r="J83" s="132"/>
    </row>
    <row r="84" spans="2:11" hidden="1">
      <c r="B84" s="17"/>
      <c r="C84" s="17"/>
      <c r="D84" s="409"/>
      <c r="E84" s="198">
        <v>2020</v>
      </c>
      <c r="F84" s="198"/>
      <c r="G84" s="198">
        <v>2021</v>
      </c>
      <c r="H84" s="198">
        <v>2022</v>
      </c>
      <c r="I84" s="198">
        <v>2023</v>
      </c>
      <c r="J84" s="198">
        <v>2024</v>
      </c>
      <c r="K84" s="144"/>
    </row>
    <row r="85" spans="2:11" hidden="1">
      <c r="B85" s="343"/>
      <c r="C85" s="343"/>
      <c r="D85" s="409"/>
      <c r="E85" s="198" t="s">
        <v>30</v>
      </c>
      <c r="F85" s="198"/>
      <c r="G85" s="198" t="s">
        <v>30</v>
      </c>
      <c r="H85" s="198" t="s">
        <v>30</v>
      </c>
      <c r="I85" s="198" t="s">
        <v>30</v>
      </c>
      <c r="J85" s="198" t="s">
        <v>30</v>
      </c>
      <c r="K85" s="144"/>
    </row>
    <row r="86" spans="2:11" hidden="1">
      <c r="B86" s="878"/>
      <c r="C86" s="133" t="s">
        <v>894</v>
      </c>
      <c r="D86" s="413"/>
      <c r="E86" s="236" t="str">
        <f>IFERROR(INDEX(Table_Safety_Targets[2020T],MATCH($B$86&amp;$C86,Table_Safety_Targets[Helper],0)),"-")</f>
        <v>-</v>
      </c>
      <c r="F86" s="236"/>
      <c r="G86" s="224" t="s">
        <v>207</v>
      </c>
      <c r="H86" s="224" t="s">
        <v>207</v>
      </c>
      <c r="I86" s="224" t="s">
        <v>207</v>
      </c>
      <c r="J86" s="224" t="s">
        <v>207</v>
      </c>
      <c r="K86" s="144"/>
    </row>
    <row r="87" spans="2:11" hidden="1">
      <c r="B87" s="879"/>
      <c r="C87" s="133" t="s">
        <v>895</v>
      </c>
      <c r="D87" s="413"/>
      <c r="E87" s="236" t="str">
        <f>IFERROR(INDEX(Table_Safety_Targets[2020T],MATCH($B$86&amp;$C87,Table_Safety_Targets[Helper],0)),"-")</f>
        <v>-</v>
      </c>
      <c r="F87" s="236"/>
      <c r="G87" s="224" t="s">
        <v>207</v>
      </c>
      <c r="H87" s="224" t="s">
        <v>207</v>
      </c>
      <c r="I87" s="224" t="s">
        <v>207</v>
      </c>
      <c r="J87" s="224" t="s">
        <v>207</v>
      </c>
      <c r="K87" s="144"/>
    </row>
    <row r="88" spans="2:11" hidden="1">
      <c r="B88" s="879"/>
      <c r="C88" s="133" t="s">
        <v>896</v>
      </c>
      <c r="D88" s="413"/>
      <c r="E88" s="236" t="str">
        <f>IFERROR(INDEX(Table_Safety_Targets[2020T],MATCH($B$86&amp;$C88,Table_Safety_Targets[Helper],0)),"-")</f>
        <v>-</v>
      </c>
      <c r="F88" s="236"/>
      <c r="G88" s="224" t="s">
        <v>207</v>
      </c>
      <c r="H88" s="224" t="s">
        <v>207</v>
      </c>
      <c r="I88" s="224" t="s">
        <v>207</v>
      </c>
      <c r="J88" s="224" t="s">
        <v>207</v>
      </c>
      <c r="K88" s="144"/>
    </row>
    <row r="89" spans="2:11" hidden="1">
      <c r="B89" s="879"/>
      <c r="C89" s="133" t="s">
        <v>897</v>
      </c>
      <c r="D89" s="413"/>
      <c r="E89" s="236" t="str">
        <f>IFERROR(INDEX(Table_Safety_Targets[2020T],MATCH($B$86&amp;$C89,Table_Safety_Targets[Helper],0)),"-")</f>
        <v>-</v>
      </c>
      <c r="F89" s="236"/>
      <c r="G89" s="224" t="s">
        <v>207</v>
      </c>
      <c r="H89" s="224" t="s">
        <v>207</v>
      </c>
      <c r="I89" s="224" t="s">
        <v>207</v>
      </c>
      <c r="J89" s="224" t="s">
        <v>207</v>
      </c>
      <c r="K89" s="144"/>
    </row>
    <row r="90" spans="2:11" hidden="1">
      <c r="B90" s="879"/>
      <c r="C90" s="133" t="s">
        <v>898</v>
      </c>
      <c r="D90" s="413"/>
      <c r="E90" s="236" t="str">
        <f>IFERROR(INDEX(Table_Safety_Targets[2020T],MATCH($B$86&amp;$C90,Table_Safety_Targets[Helper],0)),"-")</f>
        <v>-</v>
      </c>
      <c r="F90" s="236"/>
      <c r="G90" s="224" t="s">
        <v>207</v>
      </c>
      <c r="H90" s="224" t="s">
        <v>207</v>
      </c>
      <c r="I90" s="224" t="s">
        <v>207</v>
      </c>
      <c r="J90" s="224" t="s">
        <v>207</v>
      </c>
      <c r="K90" s="144"/>
    </row>
    <row r="91" spans="2:11" hidden="1">
      <c r="B91" s="879"/>
      <c r="C91" s="133" t="s">
        <v>23</v>
      </c>
      <c r="D91" s="865"/>
      <c r="E91" s="865"/>
      <c r="F91" s="865"/>
      <c r="G91" s="865"/>
      <c r="H91" s="865"/>
      <c r="I91" s="865"/>
      <c r="J91" s="866"/>
      <c r="K91" s="144"/>
    </row>
    <row r="92" spans="2:11" hidden="1">
      <c r="B92" s="132"/>
      <c r="C92" s="132"/>
      <c r="D92" s="132"/>
      <c r="E92" s="132"/>
      <c r="F92" s="132"/>
      <c r="G92" s="132"/>
      <c r="H92" s="132"/>
      <c r="I92" s="132"/>
      <c r="J92" s="132"/>
    </row>
    <row r="93" spans="2:11" hidden="1">
      <c r="B93" s="17"/>
      <c r="C93" s="17"/>
      <c r="D93" s="409"/>
      <c r="E93" s="198">
        <v>2020</v>
      </c>
      <c r="F93" s="198"/>
      <c r="G93" s="198">
        <v>2021</v>
      </c>
      <c r="H93" s="198">
        <v>2022</v>
      </c>
      <c r="I93" s="198">
        <v>2023</v>
      </c>
      <c r="J93" s="198">
        <v>2024</v>
      </c>
      <c r="K93" s="144"/>
    </row>
    <row r="94" spans="2:11" hidden="1">
      <c r="B94" s="343"/>
      <c r="C94" s="343"/>
      <c r="D94" s="409"/>
      <c r="E94" s="198" t="s">
        <v>30</v>
      </c>
      <c r="F94" s="198"/>
      <c r="G94" s="198" t="s">
        <v>30</v>
      </c>
      <c r="H94" s="198" t="s">
        <v>30</v>
      </c>
      <c r="I94" s="198" t="s">
        <v>30</v>
      </c>
      <c r="J94" s="198" t="s">
        <v>30</v>
      </c>
      <c r="K94" s="144"/>
    </row>
    <row r="95" spans="2:11" hidden="1">
      <c r="B95" s="878"/>
      <c r="C95" s="133" t="s">
        <v>894</v>
      </c>
      <c r="D95" s="413"/>
      <c r="E95" s="236" t="str">
        <f>IFERROR(INDEX(Table_Safety_Targets[2020T],MATCH($B$95&amp;$C95,Table_Safety_Targets[Helper],0)),"-")</f>
        <v>-</v>
      </c>
      <c r="F95" s="236"/>
      <c r="G95" s="224" t="s">
        <v>207</v>
      </c>
      <c r="H95" s="224" t="s">
        <v>207</v>
      </c>
      <c r="I95" s="224" t="s">
        <v>207</v>
      </c>
      <c r="J95" s="224" t="s">
        <v>207</v>
      </c>
      <c r="K95" s="144"/>
    </row>
    <row r="96" spans="2:11" hidden="1">
      <c r="B96" s="879"/>
      <c r="C96" s="133" t="s">
        <v>895</v>
      </c>
      <c r="D96" s="413"/>
      <c r="E96" s="236" t="str">
        <f>IFERROR(INDEX(Table_Safety_Targets[2020T],MATCH($B$95&amp;$C96,Table_Safety_Targets[Helper],0)),"-")</f>
        <v>-</v>
      </c>
      <c r="F96" s="236"/>
      <c r="G96" s="224" t="s">
        <v>207</v>
      </c>
      <c r="H96" s="224" t="s">
        <v>207</v>
      </c>
      <c r="I96" s="224" t="s">
        <v>207</v>
      </c>
      <c r="J96" s="224" t="s">
        <v>207</v>
      </c>
      <c r="K96" s="144"/>
    </row>
    <row r="97" spans="2:11" hidden="1">
      <c r="B97" s="879"/>
      <c r="C97" s="133" t="s">
        <v>896</v>
      </c>
      <c r="D97" s="413"/>
      <c r="E97" s="236" t="str">
        <f>IFERROR(INDEX(Table_Safety_Targets[2020T],MATCH($B$95&amp;$C97,Table_Safety_Targets[Helper],0)),"-")</f>
        <v>-</v>
      </c>
      <c r="F97" s="236"/>
      <c r="G97" s="224" t="s">
        <v>207</v>
      </c>
      <c r="H97" s="224" t="s">
        <v>207</v>
      </c>
      <c r="I97" s="224" t="s">
        <v>207</v>
      </c>
      <c r="J97" s="224" t="s">
        <v>207</v>
      </c>
      <c r="K97" s="144"/>
    </row>
    <row r="98" spans="2:11" hidden="1">
      <c r="B98" s="879"/>
      <c r="C98" s="133" t="s">
        <v>897</v>
      </c>
      <c r="D98" s="413"/>
      <c r="E98" s="236" t="str">
        <f>IFERROR(INDEX(Table_Safety_Targets[2020T],MATCH($B$95&amp;$C98,Table_Safety_Targets[Helper],0)),"-")</f>
        <v>-</v>
      </c>
      <c r="F98" s="236"/>
      <c r="G98" s="224" t="s">
        <v>207</v>
      </c>
      <c r="H98" s="224" t="s">
        <v>207</v>
      </c>
      <c r="I98" s="224" t="s">
        <v>207</v>
      </c>
      <c r="J98" s="224" t="s">
        <v>207</v>
      </c>
      <c r="K98" s="144"/>
    </row>
    <row r="99" spans="2:11" hidden="1">
      <c r="B99" s="879"/>
      <c r="C99" s="133" t="s">
        <v>898</v>
      </c>
      <c r="D99" s="413"/>
      <c r="E99" s="236" t="str">
        <f>IFERROR(INDEX(Table_Safety_Targets[2020T],MATCH($B$95&amp;$C99,Table_Safety_Targets[Helper],0)),"-")</f>
        <v>-</v>
      </c>
      <c r="F99" s="236"/>
      <c r="G99" s="224" t="s">
        <v>207</v>
      </c>
      <c r="H99" s="224" t="s">
        <v>207</v>
      </c>
      <c r="I99" s="224" t="s">
        <v>207</v>
      </c>
      <c r="J99" s="224" t="s">
        <v>207</v>
      </c>
      <c r="K99" s="144"/>
    </row>
    <row r="100" spans="2:11" hidden="1">
      <c r="B100" s="879"/>
      <c r="C100" s="133" t="s">
        <v>23</v>
      </c>
      <c r="D100" s="865"/>
      <c r="E100" s="865"/>
      <c r="F100" s="865"/>
      <c r="G100" s="865"/>
      <c r="H100" s="865"/>
      <c r="I100" s="865"/>
      <c r="J100" s="866"/>
      <c r="K100" s="144"/>
    </row>
    <row r="101" spans="2:11" hidden="1">
      <c r="B101" s="132"/>
      <c r="C101" s="132"/>
      <c r="D101" s="132"/>
      <c r="E101" s="132"/>
      <c r="F101" s="132"/>
      <c r="G101" s="132"/>
      <c r="H101" s="132"/>
      <c r="I101" s="132"/>
      <c r="J101" s="132"/>
    </row>
    <row r="102" spans="2:11" ht="15.75">
      <c r="B102" s="50" t="s">
        <v>1419</v>
      </c>
      <c r="C102" s="223"/>
      <c r="D102" s="49"/>
      <c r="E102" s="49"/>
      <c r="F102" s="49"/>
      <c r="G102" s="49"/>
      <c r="H102" s="49"/>
      <c r="I102" s="49"/>
      <c r="J102" s="49"/>
    </row>
    <row r="103" spans="2:11">
      <c r="B103" s="226"/>
      <c r="C103" s="226"/>
      <c r="D103" s="226"/>
      <c r="E103" s="226"/>
      <c r="F103" s="226"/>
      <c r="G103" s="226"/>
      <c r="H103" s="226"/>
      <c r="I103" s="226"/>
      <c r="J103" s="226"/>
    </row>
    <row r="104" spans="2:11" ht="58.5" customHeight="1">
      <c r="B104" s="876" t="s">
        <v>1925</v>
      </c>
      <c r="C104" s="877"/>
      <c r="D104" s="877"/>
      <c r="E104" s="877"/>
      <c r="F104" s="877"/>
      <c r="G104" s="877"/>
      <c r="H104" s="877"/>
      <c r="I104" s="877"/>
      <c r="J104" s="877"/>
      <c r="K104" s="144"/>
    </row>
    <row r="105" spans="2:11">
      <c r="B105" s="300" t="s">
        <v>1416</v>
      </c>
      <c r="C105" s="132"/>
      <c r="D105" s="132"/>
      <c r="E105" s="132"/>
      <c r="F105" s="132"/>
      <c r="G105" s="132"/>
      <c r="H105" s="132"/>
      <c r="I105" s="132"/>
      <c r="J105" s="132"/>
    </row>
    <row r="107" spans="2:11" ht="15.75">
      <c r="B107" s="50" t="s">
        <v>1418</v>
      </c>
      <c r="C107" s="223"/>
      <c r="D107" s="49"/>
      <c r="E107" s="49"/>
      <c r="F107" s="49"/>
      <c r="G107" s="49"/>
      <c r="H107" s="49"/>
      <c r="I107" s="49"/>
      <c r="J107" s="49"/>
    </row>
    <row r="108" spans="2:11">
      <c r="B108" s="226"/>
      <c r="C108" s="226"/>
      <c r="D108" s="226"/>
      <c r="E108" s="226"/>
      <c r="F108" s="226"/>
      <c r="G108" s="226"/>
      <c r="H108" s="226"/>
      <c r="I108" s="226"/>
      <c r="J108" s="226"/>
    </row>
    <row r="109" spans="2:11" ht="267.75" customHeight="1">
      <c r="B109" s="871" t="s">
        <v>1934</v>
      </c>
      <c r="C109" s="872"/>
      <c r="D109" s="872"/>
      <c r="E109" s="872"/>
      <c r="F109" s="872"/>
      <c r="G109" s="872"/>
      <c r="H109" s="872"/>
      <c r="I109" s="872"/>
      <c r="J109" s="873"/>
    </row>
    <row r="110" spans="2:11">
      <c r="B110" s="300" t="s">
        <v>1416</v>
      </c>
      <c r="C110" s="132"/>
      <c r="D110" s="132"/>
      <c r="E110" s="132"/>
      <c r="F110" s="132"/>
      <c r="G110" s="132"/>
      <c r="H110" s="132"/>
      <c r="I110" s="132"/>
      <c r="J110" s="132"/>
    </row>
  </sheetData>
  <sheetProtection formatCells="0" formatColumns="0" formatRows="0" insertHyperlinks="0"/>
  <mergeCells count="23">
    <mergeCell ref="B109:J109"/>
    <mergeCell ref="B14:B19"/>
    <mergeCell ref="B104:J104"/>
    <mergeCell ref="B23:B28"/>
    <mergeCell ref="B32:B37"/>
    <mergeCell ref="B41:B46"/>
    <mergeCell ref="B59:B64"/>
    <mergeCell ref="B50:B55"/>
    <mergeCell ref="B95:B100"/>
    <mergeCell ref="B68:B73"/>
    <mergeCell ref="B86:B91"/>
    <mergeCell ref="B77:B82"/>
    <mergeCell ref="D100:J100"/>
    <mergeCell ref="D82:J82"/>
    <mergeCell ref="D91:J91"/>
    <mergeCell ref="D55:J55"/>
    <mergeCell ref="D64:J64"/>
    <mergeCell ref="D73:J73"/>
    <mergeCell ref="D10:J10"/>
    <mergeCell ref="D19:J19"/>
    <mergeCell ref="D28:J28"/>
    <mergeCell ref="D37:J37"/>
    <mergeCell ref="D46:J46"/>
  </mergeCells>
  <conditionalFormatting sqref="B14:B19 B23:B28 B32:B37 B41:B46 B50:B55 B59:B64 B68:B73 B77:B82 B86:B91 B95:B100 D10">
    <cfRule type="expression" dxfId="823" priority="16">
      <formula>$A$2="PRINT"</formula>
    </cfRule>
  </conditionalFormatting>
  <conditionalFormatting sqref="E95:F99">
    <cfRule type="expression" dxfId="822" priority="3">
      <formula>$A$2="PRINT"</formula>
    </cfRule>
  </conditionalFormatting>
  <conditionalFormatting sqref="E23:F27">
    <cfRule type="expression" dxfId="821" priority="11">
      <formula>$A$2="PRINT"</formula>
    </cfRule>
  </conditionalFormatting>
  <conditionalFormatting sqref="E32:F36">
    <cfRule type="expression" dxfId="820" priority="10">
      <formula>$A$2="PRINT"</formula>
    </cfRule>
  </conditionalFormatting>
  <conditionalFormatting sqref="E41:F45">
    <cfRule type="expression" dxfId="819" priority="9">
      <formula>$A$2="PRINT"</formula>
    </cfRule>
  </conditionalFormatting>
  <conditionalFormatting sqref="E50:F54">
    <cfRule type="expression" dxfId="818" priority="8">
      <formula>$A$2="PRINT"</formula>
    </cfRule>
  </conditionalFormatting>
  <conditionalFormatting sqref="E59:F63">
    <cfRule type="expression" dxfId="817" priority="7">
      <formula>$A$2="PRINT"</formula>
    </cfRule>
  </conditionalFormatting>
  <conditionalFormatting sqref="E68:F72">
    <cfRule type="expression" dxfId="816" priority="6">
      <formula>$A$2="PRINT"</formula>
    </cfRule>
  </conditionalFormatting>
  <conditionalFormatting sqref="E77:F81">
    <cfRule type="expression" dxfId="815" priority="5">
      <formula>$A$2="PRINT"</formula>
    </cfRule>
  </conditionalFormatting>
  <conditionalFormatting sqref="E86:F90">
    <cfRule type="expression" dxfId="814" priority="4">
      <formula>$A$2="PRINT"</formula>
    </cfRule>
  </conditionalFormatting>
  <conditionalFormatting sqref="D14:D18">
    <cfRule type="expression" dxfId="813" priority="1">
      <formula>$A$2="PRINT"</formula>
    </cfRule>
  </conditionalFormatting>
  <dataValidations count="4">
    <dataValidation type="list" allowBlank="1" showInputMessage="1" showErrorMessage="1" sqref="JB14:JF19 SX14:TB19 ACT14:ACX19 AMP14:AMT19 AWL14:AWP19 BGH14:BGL19 BQD14:BQH19 BZZ14:CAD19 CJV14:CJZ19 CTR14:CTV19 DDN14:DDR19 DNJ14:DNN19 DXF14:DXJ19 EHB14:EHF19 EQX14:ERB19 FAT14:FAX19 FKP14:FKT19 FUL14:FUP19 GEH14:GEL19 GOD14:GOH19 GXZ14:GYD19 HHV14:HHZ19 HRR14:HRV19 IBN14:IBR19 ILJ14:ILN19 IVF14:IVJ19 JFB14:JFF19 JOX14:JPB19 JYT14:JYX19 KIP14:KIT19 KSL14:KSP19 LCH14:LCL19 LMD14:LMH19 LVZ14:LWD19 MFV14:MFZ19 MPR14:MPV19 MZN14:MZR19 NJJ14:NJN19 NTF14:NTJ19 ODB14:ODF19 OMX14:ONB19 OWT14:OWX19 PGP14:PGT19 PQL14:PQP19 QAH14:QAL19 QKD14:QKH19 QTZ14:QUD19 RDV14:RDZ19 RNR14:RNV19 RXN14:RXR19 SHJ14:SHN19 SRF14:SRJ19 TBB14:TBF19 TKX14:TLB19 TUT14:TUX19 UEP14:UET19 UOL14:UOP19 UYH14:UYL19 VID14:VIH19 VRZ14:VSD19 WBV14:WBZ19 WLR14:WLV19 WVN14:WVR19 JB23:JF28 SX23:TB28 ACT23:ACX28 AMP23:AMT28 AWL23:AWP28 BGH23:BGL28 BQD23:BQH28 BZZ23:CAD28 CJV23:CJZ28 CTR23:CTV28 DDN23:DDR28 DNJ23:DNN28 DXF23:DXJ28 EHB23:EHF28 EQX23:ERB28 FAT23:FAX28 FKP23:FKT28 FUL23:FUP28 GEH23:GEL28 GOD23:GOH28 GXZ23:GYD28 HHV23:HHZ28 HRR23:HRV28 IBN23:IBR28 ILJ23:ILN28 IVF23:IVJ28 JFB23:JFF28 JOX23:JPB28 JYT23:JYX28 KIP23:KIT28 KSL23:KSP28 LCH23:LCL28 LMD23:LMH28 LVZ23:LWD28 MFV23:MFZ28 MPR23:MPV28 MZN23:MZR28 NJJ23:NJN28 NTF23:NTJ28 ODB23:ODF28 OMX23:ONB28 OWT23:OWX28 PGP23:PGT28 PQL23:PQP28 QAH23:QAL28 QKD23:QKH28 QTZ23:QUD28 RDV23:RDZ28 RNR23:RNV28 RXN23:RXR28 SHJ23:SHN28 SRF23:SRJ28 TBB23:TBF28 TKX23:TLB28 TUT23:TUX28 UEP23:UET28 UOL23:UOP28 UYH23:UYL28 VID23:VIH28 VRZ23:VSD28 WBV23:WBZ28 WLR23:WLV28 WVN23:WVR28 BZZ95:CAD100 SX32:TB37 ACT32:ACX37 AMP32:AMT37 AWL32:AWP37 BGH32:BGL37 BQD32:BQH37 BZZ32:CAD37 CJV32:CJZ37 CTR32:CTV37 DDN32:DDR37 DNJ32:DNN37 DXF32:DXJ37 EHB32:EHF37 EQX32:ERB37 FAT32:FAX37 FKP32:FKT37 FUL32:FUP37 GEH32:GEL37 GOD32:GOH37 GXZ32:GYD37 HHV32:HHZ37 HRR32:HRV37 IBN32:IBR37 ILJ32:ILN37 IVF32:IVJ37 JFB32:JFF37 JOX32:JPB37 JYT32:JYX37 KIP32:KIT37 KSL32:KSP37 LCH32:LCL37 LMD32:LMH37 LVZ32:LWD37 MFV32:MFZ37 MPR32:MPV37 MZN32:MZR37 NJJ32:NJN37 NTF32:NTJ37 ODB32:ODF37 OMX32:ONB37 OWT32:OWX37 PGP32:PGT37 PQL32:PQP37 QAH32:QAL37 QKD32:QKH37 QTZ32:QUD37 RDV32:RDZ37 RNR32:RNV37 RXN32:RXR37 SHJ32:SHN37 SRF32:SRJ37 TBB32:TBF37 TKX32:TLB37 TUT32:TUX37 UEP32:UET37 UOL32:UOP37 UYH32:UYL37 VID32:VIH37 VRZ32:VSD37 WBV32:WBZ37 WLR32:WLV37 WVN32:WVR37 BQD95:BQH100 BQD86:BQH91 ACT41:ACX46 AMP41:AMT46 AWL41:AWP46 BGH41:BGL46 BQD41:BQH46 BZZ41:CAD46 CJV41:CJZ46 CTR41:CTV46 DDN41:DDR46 DNJ41:DNN46 DXF41:DXJ46 EHB41:EHF46 EQX41:ERB46 FAT41:FAX46 FKP41:FKT46 FUL41:FUP46 GEH41:GEL46 GOD41:GOH46 GXZ41:GYD46 HHV41:HHZ46 HRR41:HRV46 IBN41:IBR46 ILJ41:ILN46 IVF41:IVJ46 JFB41:JFF46 JOX41:JPB46 JYT41:JYX46 KIP41:KIT46 KSL41:KSP46 LCH41:LCL46 LMD41:LMH46 LVZ41:LWD46 MFV41:MFZ46 MPR41:MPV46 MZN41:MZR46 NJJ41:NJN46 NTF41:NTJ46 ODB41:ODF46 OMX41:ONB46 OWT41:OWX46 PGP41:PGT46 PQL41:PQP46 QAH41:QAL46 QKD41:QKH46 QTZ41:QUD46 RDV41:RDZ46 RNR41:RNV46 RXN41:RXR46 SHJ41:SHN46 SRF41:SRJ46 TBB41:TBF46 TKX41:TLB46 TUT41:TUX46 UEP41:UET46 UOL41:UOP46 UYH41:UYL46 VID41:VIH46 VRZ41:VSD46 WBV41:WBZ46 WLR41:WLV46 WVN41:WVR46 BGH95:BGL100 JB41:JF46 JB32:JF37 AMP50:AMT55 AWL50:AWP55 BGH50:BGL55 BQD50:BQH55 BZZ50:CAD55 CJV50:CJZ55 CTR50:CTV55 DDN50:DDR55 DNJ50:DNN55 DXF50:DXJ55 EHB50:EHF55 EQX50:ERB55 FAT50:FAX55 FKP50:FKT55 FUL50:FUP55 GEH50:GEL55 GOD50:GOH55 GXZ50:GYD55 HHV50:HHZ55 HRR50:HRV55 IBN50:IBR55 ILJ50:ILN55 IVF50:IVJ55 JFB50:JFF55 JOX50:JPB55 JYT50:JYX55 KIP50:KIT55 KSL50:KSP55 LCH50:LCL55 LMD50:LMH55 LVZ50:LWD55 MFV50:MFZ55 MPR50:MPV55 MZN50:MZR55 NJJ50:NJN55 NTF50:NTJ55 ODB50:ODF55 OMX50:ONB55 OWT50:OWX55 PGP50:PGT55 PQL50:PQP55 QAH50:QAL55 QKD50:QKH55 QTZ50:QUD55 RDV50:RDZ55 RNR50:RNV55 RXN50:RXR55 SHJ50:SHN55 SRF50:SRJ55 TBB50:TBF55 TKX50:TLB55 TUT50:TUX55 UEP50:UET55 UOL50:UOP55 UYH50:UYL55 VID50:VIH55 VRZ50:VSD55 WBV50:WBZ55 WLR50:WLV55 WVN50:WVR55 AWL95:AWP100 JB50:JF55 SX50:TB55 SX41:TB46 BGH59:BGL64 BQD59:BQH64 BZZ59:CAD64 CJV59:CJZ64 CTR59:CTV64 DDN59:DDR64 DNJ59:DNN64 DXF59:DXJ64 EHB59:EHF64 EQX59:ERB64 FAT59:FAX64 FKP59:FKT64 FUL59:FUP64 GEH59:GEL64 GOD59:GOH64 GXZ59:GYD64 HHV59:HHZ64 HRR59:HRV64 IBN59:IBR64 ILJ59:ILN64 IVF59:IVJ64 JFB59:JFF64 JOX59:JPB64 JYT59:JYX64 KIP59:KIT64 KSL59:KSP64 LCH59:LCL64 LMD59:LMH64 LVZ59:LWD64 MFV59:MFZ64 MPR59:MPV64 MZN59:MZR64 NJJ59:NJN64 NTF59:NTJ64 ODB59:ODF64 OMX59:ONB64 OWT59:OWX64 PGP59:PGT64 PQL59:PQP64 QAH59:QAL64 QKD59:QKH64 QTZ59:QUD64 RDV59:RDZ64 RNR59:RNV64 RXN59:RXR64 SHJ59:SHN64 SRF59:SRJ64 TBB59:TBF64 TKX59:TLB64 TUT59:TUX64 UEP59:UET64 UOL59:UOP64 UYH59:UYL64 VID59:VIH64 VRZ59:VSD64 WBV59:WBZ64 WLR59:WLV64 WVN59:WVR64 JB59:JF64 AMP95:AMT100 SX59:TB64 ACT59:ACX64 AMP59:AMT64 ACT50:ACX55 BGH68:BGL73 BQD68:BQH73 BZZ68:CAD73 CJV68:CJZ73 CTR68:CTV73 DDN68:DDR73 DNJ68:DNN73 DXF68:DXJ73 EHB68:EHF73 EQX68:ERB73 FAT68:FAX73 FKP68:FKT73 FUL68:FUP73 GEH68:GEL73 GOD68:GOH73 GXZ68:GYD73 HHV68:HHZ73 HRR68:HRV73 IBN68:IBR73 ILJ68:ILN73 IVF68:IVJ73 JFB68:JFF73 JOX68:JPB73 JYT68:JYX73 KIP68:KIT73 KSL68:KSP73 LCH68:LCL73 LMD68:LMH73 LVZ68:LWD73 MFV68:MFZ73 MPR68:MPV73 MZN68:MZR73 NJJ68:NJN73 NTF68:NTJ73 ODB68:ODF73 OMX68:ONB73 OWT68:OWX73 PGP68:PGT73 PQL68:PQP73 QAH68:QAL73 QKD68:QKH73 QTZ68:QUD73 RDV68:RDZ73 RNR68:RNV73 RXN68:RXR73 SHJ68:SHN73 SRF68:SRJ73 TBB68:TBF73 TKX68:TLB73 TUT68:TUX73 UEP68:UET73 UOL68:UOP73 UYH68:UYL73 VID68:VIH73 VRZ68:VSD73 WBV68:WBZ73 WLR68:WLV73 WVN68:WVR73 ACT95:ACX100 JB68:JF73 SX68:TB73 ACT68:ACX73 AMP68:AMT73 AWL59:AWP64 BQD77:BQH82 BZZ77:CAD82 CJV77:CJZ82 CTR77:CTV82 DDN77:DDR82 DNJ77:DNN82 DXF77:DXJ82 EHB77:EHF82 EQX77:ERB82 FAT77:FAX82 FKP77:FKT82 FUL77:FUP82 GEH77:GEL82 GOD77:GOH82 GXZ77:GYD82 HHV77:HHZ82 HRR77:HRV82 IBN77:IBR82 ILJ77:ILN82 IVF77:IVJ82 JFB77:JFF82 JOX77:JPB82 JYT77:JYX82 KIP77:KIT82 KSL77:KSP82 LCH77:LCL82 LMD77:LMH82 LVZ77:LWD82 MFV77:MFZ82 MPR77:MPV82 MZN77:MZR82 NJJ77:NJN82 NTF77:NTJ82 ODB77:ODF82 OMX77:ONB82 OWT77:OWX82 PGP77:PGT82 PQL77:PQP82 QAH77:QAL82 QKD77:QKH82 QTZ77:QUD82 RDV77:RDZ82 RNR77:RNV82 RXN77:RXR82 SHJ77:SHN82 SRF77:SRJ82 TBB77:TBF82 TKX77:TLB82 TUT77:TUX82 UEP77:UET82 UOL77:UOP82 UYH77:UYL82 VID77:VIH82 VRZ77:VSD82 WBV77:WBZ82 WLR77:WLV82 WVN77:WVR82 SX95:TB100 JB77:JF82 SX77:TB82 ACT77:ACX82 AMP77:AMT82 AWL77:AWP82 AWL68:AWP73 BZZ86:CAD91 CJV86:CJZ91 CTR86:CTV91 DDN86:DDR91 DNJ86:DNN91 DXF86:DXJ91 EHB86:EHF91 EQX86:ERB91 FAT86:FAX91 FKP86:FKT91 FUL86:FUP91 GEH86:GEL91 GOD86:GOH91 GXZ86:GYD91 HHV86:HHZ91 HRR86:HRV91 IBN86:IBR91 ILJ86:ILN91 IVF86:IVJ91 JFB86:JFF91 JOX86:JPB91 JYT86:JYX91 KIP86:KIT91 KSL86:KSP91 LCH86:LCL91 LMD86:LMH91 LVZ86:LWD91 MFV86:MFZ91 MPR86:MPV91 MZN86:MZR91 NJJ86:NJN91 NTF86:NTJ91 ODB86:ODF91 OMX86:ONB91 OWT86:OWX91 PGP86:PGT91 PQL86:PQP91 QAH86:QAL91 QKD86:QKH91 QTZ86:QUD91 RDV86:RDZ91 RNR86:RNV91 RXN86:RXR91 SHJ86:SHN91 SRF86:SRJ91 TBB86:TBF91 TKX86:TLB91 TUT86:TUX91 UEP86:UET91 UOL86:UOP91 UYH86:UYL91 VID86:VIH91 VRZ86:VSD91 WBV86:WBZ91 WLR86:WLV91 WVN86:WVR91 JB95:JF100 JB86:JF91 SX86:TB91 ACT86:ACX91 AMP86:AMT91 AWL86:AWP91 BGH86:BGL91 BGH77:BGL82 CJV95:CJZ100 CTR95:CTV100 DDN95:DDR100 DNJ95:DNN100 DXF95:DXJ100 EHB95:EHF100 EQX95:ERB100 FAT95:FAX100 FKP95:FKT100 FUL95:FUP100 GEH95:GEL100 GOD95:GOH100 GXZ95:GYD100 HHV95:HHZ100 HRR95:HRV100 IBN95:IBR100 ILJ95:ILN100 IVF95:IVJ100 JFB95:JFF100 JOX95:JPB100 JYT95:JYX100 KIP95:KIT100 KSL95:KSP100 LCH95:LCL100 LMD95:LMH100 LVZ95:LWD100 MFV95:MFZ100 MPR95:MPV100 MZN95:MZR100 NJJ95:NJN100 NTF95:NTJ100 ODB95:ODF100 OMX95:ONB100 OWT95:OWX100 PGP95:PGT100 PQL95:PQP100 QAH95:QAL100 QKD95:QKH100 QTZ95:QUD100 RDV95:RDZ100 RNR95:RNV100 RXN95:RXR100 SHJ95:SHN100 SRF95:SRJ100 TBB95:TBF100 TKX95:TLB100 TUT95:TUX100 UEP95:UET100 UOL95:UOP100 UYH95:UYL100 VID95:VIH100 VRZ95:VSD100 WBV95:WBZ100 WLR95:WLV100 WVN95:WVR100" xr:uid="{00000000-0002-0000-1900-000000000000}">
      <formula1>"Select Level, A, B, C, D, E"</formula1>
    </dataValidation>
    <dataValidation type="list" allowBlank="1" showInputMessage="1" showErrorMessage="1" errorTitle="Invalid entry!" error="Only values A, B, C and D are allowed." sqref="G86:J90 G77:J81 G95:J99 G23:J27 G32:J36 G41:J45 G50:J54 G59:J63 G68:J72 D23:D27 D95:D99 D86:D90 D77:D81 D68:D72 D59:D63 D50:D54 D41:D45 D32:D36 E14:J18" xr:uid="{00000000-0002-0000-1900-000001000000}">
      <formula1>"Select Level, A, B, C, D"</formula1>
    </dataValidation>
    <dataValidation allowBlank="1" showInputMessage="1" showErrorMessage="1" errorTitle="Invalid entry!" error="Only values A, B, C and D are allowed." sqref="E95:F99 E23:F27 E32:F36 E41:F45 E50:F54 E59:F63 E68:F72 E77:F81 E86:F90 D14:E18" xr:uid="{00000000-0002-0000-1900-000002000000}"/>
    <dataValidation type="list" allowBlank="1" showInputMessage="1" showErrorMessage="1" sqref="D10" xr:uid="{00000000-0002-0000-1900-000003000000}">
      <formula1>"1,2,3,4,5,6,7,8,9,10"</formula1>
    </dataValidation>
  </dataValidations>
  <pageMargins left="0.70866141732283472" right="0.70866141732283472" top="0.74803149606299213" bottom="0.74803149606299213" header="0.31496062992125984" footer="0.31496062992125984"/>
  <pageSetup paperSize="9" scale="68" fitToHeight="0" orientation="portrait" r:id="rId1"/>
  <headerFooter>
    <oddFooter>&amp;C&amp;P</oddFooter>
  </headerFooter>
  <drawing r:id="rId2"/>
  <picture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3">
    <tabColor theme="1"/>
    <pageSetUpPr fitToPage="1"/>
  </sheetPr>
  <dimension ref="A1:H33"/>
  <sheetViews>
    <sheetView showGridLines="0"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7" width="9.140625" style="10"/>
    <col min="8" max="8" width="34.42578125" style="10" customWidth="1"/>
    <col min="9" max="9" width="42.7109375" style="10" customWidth="1"/>
    <col min="10" max="16384" width="9.140625" style="10"/>
  </cols>
  <sheetData>
    <row r="1" spans="1:8" s="9" customFormat="1">
      <c r="A1" s="8"/>
      <c r="C1" s="36"/>
      <c r="D1" s="37"/>
    </row>
    <row r="2" spans="1:8" ht="21">
      <c r="A2" s="104"/>
      <c r="B2" s="621" t="s">
        <v>1049</v>
      </c>
      <c r="C2" s="621"/>
      <c r="D2" s="621"/>
      <c r="E2" s="621"/>
      <c r="F2" s="621"/>
    </row>
    <row r="3" spans="1:8">
      <c r="B3" s="138"/>
      <c r="C3" s="139"/>
      <c r="D3" s="140"/>
      <c r="E3" s="138"/>
      <c r="F3" s="138"/>
    </row>
    <row r="4" spans="1:8">
      <c r="B4"/>
      <c r="C4"/>
      <c r="D4"/>
      <c r="E4"/>
      <c r="F4"/>
      <c r="G4"/>
      <c r="H4"/>
    </row>
    <row r="5" spans="1:8" ht="15" customHeight="1">
      <c r="B5" s="76" t="s">
        <v>1050</v>
      </c>
      <c r="C5"/>
      <c r="D5"/>
      <c r="E5"/>
      <c r="F5"/>
      <c r="G5"/>
      <c r="H5"/>
    </row>
    <row r="6" spans="1:8">
      <c r="C6"/>
      <c r="D6"/>
      <c r="E6"/>
      <c r="F6"/>
      <c r="G6"/>
      <c r="H6"/>
    </row>
    <row r="7" spans="1:8">
      <c r="B7" s="111" t="s">
        <v>1051</v>
      </c>
      <c r="C7"/>
      <c r="D7"/>
      <c r="E7"/>
      <c r="F7"/>
      <c r="G7"/>
      <c r="H7"/>
    </row>
    <row r="8" spans="1:8">
      <c r="B8" s="345" t="s">
        <v>1052</v>
      </c>
      <c r="C8"/>
      <c r="D8"/>
      <c r="E8"/>
      <c r="F8"/>
      <c r="G8"/>
      <c r="H8"/>
    </row>
    <row r="9" spans="1:8">
      <c r="B9" s="345" t="s">
        <v>1425</v>
      </c>
      <c r="C9"/>
      <c r="D9"/>
      <c r="E9"/>
      <c r="F9"/>
      <c r="G9"/>
      <c r="H9"/>
    </row>
    <row r="10" spans="1:8">
      <c r="B10" s="345" t="s">
        <v>1426</v>
      </c>
      <c r="C10"/>
      <c r="D10"/>
      <c r="E10"/>
      <c r="F10"/>
      <c r="G10"/>
      <c r="H10"/>
    </row>
    <row r="11" spans="1:8">
      <c r="B11"/>
      <c r="C11"/>
      <c r="D11"/>
      <c r="E11"/>
      <c r="F11"/>
      <c r="G11"/>
      <c r="H11"/>
    </row>
    <row r="12" spans="1:8">
      <c r="B12"/>
      <c r="C12"/>
      <c r="D12"/>
      <c r="E12"/>
      <c r="F12"/>
      <c r="G12"/>
      <c r="H12"/>
    </row>
    <row r="13" spans="1:8">
      <c r="B13" s="124" t="s">
        <v>1183</v>
      </c>
      <c r="C13"/>
      <c r="D13"/>
      <c r="E13"/>
      <c r="F13"/>
      <c r="G13"/>
      <c r="H13"/>
    </row>
    <row r="14" spans="1:8">
      <c r="B14" s="123" t="s">
        <v>1421</v>
      </c>
      <c r="C14"/>
      <c r="D14"/>
      <c r="E14"/>
      <c r="F14"/>
      <c r="G14"/>
      <c r="H14"/>
    </row>
    <row r="15" spans="1:8">
      <c r="B15"/>
      <c r="C15"/>
      <c r="D15"/>
      <c r="E15"/>
      <c r="F15"/>
      <c r="G15"/>
      <c r="H15"/>
    </row>
    <row r="16" spans="1:8" customFormat="1"/>
    <row r="17" spans="2:8" customFormat="1"/>
    <row r="18" spans="2:8" customFormat="1"/>
    <row r="19" spans="2:8" customFormat="1"/>
    <row r="20" spans="2:8" customFormat="1"/>
    <row r="21" spans="2:8" customFormat="1"/>
    <row r="22" spans="2:8">
      <c r="B22"/>
      <c r="C22"/>
      <c r="D22"/>
      <c r="E22"/>
      <c r="F22"/>
      <c r="G22"/>
      <c r="H22"/>
    </row>
    <row r="23" spans="2:8" ht="30.75" customHeight="1">
      <c r="B23"/>
      <c r="C23"/>
      <c r="D23"/>
      <c r="E23"/>
      <c r="F23"/>
      <c r="G23"/>
      <c r="H23"/>
    </row>
    <row r="24" spans="2:8">
      <c r="B24"/>
      <c r="C24"/>
      <c r="D24"/>
      <c r="E24"/>
      <c r="F24"/>
      <c r="G24"/>
      <c r="H24"/>
    </row>
    <row r="25" spans="2:8" ht="33" customHeight="1">
      <c r="B25"/>
      <c r="C25"/>
      <c r="D25"/>
      <c r="E25"/>
      <c r="F25"/>
      <c r="G25"/>
      <c r="H25"/>
    </row>
    <row r="26" spans="2:8">
      <c r="B26"/>
      <c r="C26"/>
      <c r="D26"/>
      <c r="E26"/>
      <c r="F26"/>
      <c r="G26"/>
      <c r="H26"/>
    </row>
    <row r="27" spans="2:8" ht="30" customHeight="1">
      <c r="B27"/>
      <c r="C27"/>
      <c r="D27"/>
      <c r="E27"/>
      <c r="F27"/>
      <c r="G27"/>
      <c r="H27"/>
    </row>
    <row r="28" spans="2:8" ht="15.75" customHeight="1">
      <c r="B28"/>
      <c r="C28"/>
      <c r="D28"/>
      <c r="E28"/>
      <c r="F28"/>
      <c r="G28"/>
      <c r="H28"/>
    </row>
    <row r="29" spans="2:8">
      <c r="B29"/>
      <c r="C29"/>
      <c r="D29"/>
      <c r="E29"/>
      <c r="F29"/>
      <c r="G29"/>
      <c r="H29"/>
    </row>
    <row r="30" spans="2:8">
      <c r="B30"/>
      <c r="C30"/>
      <c r="D30"/>
      <c r="E30"/>
      <c r="F30"/>
      <c r="G30"/>
      <c r="H30"/>
    </row>
    <row r="31" spans="2:8">
      <c r="B31"/>
      <c r="C31"/>
      <c r="D31"/>
      <c r="E31"/>
      <c r="F31"/>
      <c r="G31"/>
      <c r="H31"/>
    </row>
    <row r="32" spans="2:8">
      <c r="B32"/>
      <c r="C32"/>
      <c r="D32"/>
      <c r="E32"/>
      <c r="F32"/>
      <c r="G32"/>
      <c r="H32"/>
    </row>
    <row r="33" spans="2:8">
      <c r="B33"/>
      <c r="C33"/>
      <c r="D33"/>
      <c r="E33"/>
      <c r="F33"/>
      <c r="G33"/>
      <c r="H33"/>
    </row>
  </sheetData>
  <sheetProtection formatCells="0" formatColumns="0" formatRows="0" insertHyperlinks="0"/>
  <mergeCells count="1">
    <mergeCell ref="B2:F2"/>
  </mergeCells>
  <hyperlinks>
    <hyperlink ref="B7" location="'3.2 Environment targets'!B4" display="3.2.1 - Environment KPI #1: Horizontal en route flight efficiency (KEA)" xr:uid="{00000000-0004-0000-1A00-000000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02">
    <tabColor theme="2" tint="-0.249977111117893"/>
    <pageSetUpPr fitToPage="1"/>
  </sheetPr>
  <dimension ref="A1:M30"/>
  <sheetViews>
    <sheetView showGridLines="0" zoomScaleNormal="100" workbookViewId="0">
      <selection activeCell="O22" sqref="O22"/>
    </sheetView>
  </sheetViews>
  <sheetFormatPr defaultColWidth="9.140625" defaultRowHeight="15"/>
  <cols>
    <col min="1" max="1" width="9.140625" style="3"/>
    <col min="2" max="2" width="20.7109375" style="3" customWidth="1"/>
    <col min="3" max="3" width="30.7109375" style="3" customWidth="1"/>
    <col min="4" max="8" width="11.85546875" style="3" customWidth="1"/>
    <col min="9" max="9" width="14" style="3" customWidth="1"/>
    <col min="10" max="10" width="1.7109375" style="3" customWidth="1"/>
    <col min="11" max="11" width="7.7109375" style="3" customWidth="1"/>
    <col min="12" max="16384" width="9.140625" style="3"/>
  </cols>
  <sheetData>
    <row r="1" spans="1:10">
      <c r="B1" s="8"/>
    </row>
    <row r="2" spans="1:10" ht="18.75">
      <c r="A2" s="103"/>
      <c r="B2" s="42" t="s">
        <v>1050</v>
      </c>
    </row>
    <row r="3" spans="1:10">
      <c r="B3" s="5"/>
      <c r="H3" s="19"/>
      <c r="I3" s="19"/>
    </row>
    <row r="4" spans="1:10" ht="15.75" customHeight="1" thickBot="1">
      <c r="B4" s="32" t="s">
        <v>1051</v>
      </c>
      <c r="C4" s="32"/>
      <c r="D4" s="32"/>
      <c r="E4" s="32"/>
      <c r="F4" s="32"/>
      <c r="G4" s="32"/>
      <c r="H4" s="32"/>
      <c r="I4" s="32"/>
    </row>
    <row r="5" spans="1:10">
      <c r="B5" s="227"/>
      <c r="C5" s="227"/>
      <c r="D5" s="227"/>
      <c r="E5" s="227"/>
      <c r="F5" s="227"/>
      <c r="G5" s="227"/>
      <c r="H5" s="227"/>
      <c r="I5" s="227"/>
    </row>
    <row r="6" spans="1:10" s="4" customFormat="1" ht="15.75">
      <c r="B6" s="50" t="s">
        <v>1000</v>
      </c>
      <c r="C6" s="51"/>
      <c r="D6" s="49"/>
      <c r="E6" s="49"/>
      <c r="F6" s="49"/>
      <c r="G6" s="49"/>
      <c r="H6" s="49"/>
    </row>
    <row r="7" spans="1:10" ht="15.75">
      <c r="B7" s="20"/>
      <c r="C7" s="21"/>
      <c r="D7" s="21"/>
      <c r="E7" s="21"/>
      <c r="F7" s="21"/>
      <c r="G7" s="21"/>
      <c r="H7" s="51"/>
    </row>
    <row r="8" spans="1:10">
      <c r="D8" s="408" t="s">
        <v>1535</v>
      </c>
      <c r="E8" s="198">
        <v>2020</v>
      </c>
      <c r="F8" s="198">
        <v>2021</v>
      </c>
      <c r="G8" s="198">
        <v>2022</v>
      </c>
      <c r="H8" s="198">
        <v>2023</v>
      </c>
      <c r="I8" s="198">
        <v>2024</v>
      </c>
      <c r="J8" s="163"/>
    </row>
    <row r="9" spans="1:10" ht="15" customHeight="1">
      <c r="B9" s="886" t="s">
        <v>329</v>
      </c>
      <c r="C9" s="887"/>
      <c r="D9" s="472">
        <f>IFERROR(IF(INDEX(Table_KEA[2020A],MATCH(Signatories!$C$5,Table_KEA[[COUNTRY_FAB_Name]:[COUNTRY_FAB_Name]],0))="","-",INDEX(Table_KEA[2020A],MATCH(Signatories!$C$5,Table_KEA[[COUNTRY_FAB_Name]:[COUNTRY_FAB_Name]],0))),"-")</f>
        <v>3.8900000000000004E-2</v>
      </c>
      <c r="E9" s="236" t="s">
        <v>1724</v>
      </c>
      <c r="F9" s="406">
        <f>IFERROR(IF(INDEX(Table_KEA[2021RV],MATCH(Signatories!$C$5,Table_KEA[[COUNTRY_FAB_Name]:[COUNTRY_FAB_Name]],0))="","-",INDEX(Table_KEA[2021RV],MATCH(Signatories!$C$5,Table_KEA[[COUNTRY_FAB_Name]:[COUNTRY_FAB_Name]],0))),"-")</f>
        <v>3.8399999999999997E-2</v>
      </c>
      <c r="G9" s="406">
        <f>IFERROR(IF(INDEX(Table_KEA[2022RV],MATCH(Signatories!$C$5,Table_KEA[[COUNTRY_FAB_Name]:[COUNTRY_FAB_Name]],0))="","-",INDEX(Table_KEA[2022RV],MATCH(Signatories!$C$5,Table_KEA[[COUNTRY_FAB_Name]:[COUNTRY_FAB_Name]],0))),"-")</f>
        <v>3.8399999999999997E-2</v>
      </c>
      <c r="H9" s="406">
        <f>IFERROR(IF(INDEX(Table_KEA[2023RV],MATCH(Signatories!$C$5,Table_KEA[[COUNTRY_FAB_Name]:[COUNTRY_FAB_Name]],0))="","-",INDEX(Table_KEA[2023RV],MATCH(Signatories!$C$5,Table_KEA[[COUNTRY_FAB_Name]:[COUNTRY_FAB_Name]],0))),"-")</f>
        <v>3.8399999999999997E-2</v>
      </c>
      <c r="I9" s="406">
        <f>IFERROR(IF(INDEX(Table_KEA[2024RV],MATCH(Signatories!$C$5,Table_KEA[[COUNTRY_FAB_Name]:[COUNTRY_FAB_Name]],0))="","-",INDEX(Table_KEA[2024RV],MATCH(Signatories!$C$5,Table_KEA[[COUNTRY_FAB_Name]:[COUNTRY_FAB_Name]],0))),"-")</f>
        <v>3.8399999999999997E-2</v>
      </c>
      <c r="J9" s="163"/>
    </row>
    <row r="10" spans="1:10">
      <c r="B10" s="228"/>
      <c r="C10" s="229"/>
      <c r="D10" s="229"/>
      <c r="E10" s="201"/>
      <c r="F10" s="201"/>
      <c r="G10" s="201"/>
      <c r="H10" s="201"/>
      <c r="I10" s="201"/>
    </row>
    <row r="11" spans="1:10">
      <c r="E11" s="198">
        <v>2020</v>
      </c>
      <c r="F11" s="198">
        <v>2021</v>
      </c>
      <c r="G11" s="198">
        <v>2022</v>
      </c>
      <c r="H11" s="198">
        <v>2023</v>
      </c>
      <c r="I11" s="198">
        <v>2024</v>
      </c>
      <c r="J11" s="163"/>
    </row>
    <row r="12" spans="1:10">
      <c r="E12" s="198" t="s">
        <v>30</v>
      </c>
      <c r="F12" s="198" t="s">
        <v>30</v>
      </c>
      <c r="G12" s="198" t="s">
        <v>30</v>
      </c>
      <c r="H12" s="198" t="s">
        <v>30</v>
      </c>
      <c r="I12" s="198" t="s">
        <v>30</v>
      </c>
      <c r="J12" s="163"/>
    </row>
    <row r="13" spans="1:10">
      <c r="B13" s="619" t="s">
        <v>931</v>
      </c>
      <c r="C13" s="885"/>
      <c r="D13" s="885"/>
      <c r="E13" s="406">
        <f>IFERROR(IF(INDEX(Table_KEA[2020T],MATCH(Signatories!$C$5,Table_KEA[[COUNTRY_FAB_Name]:[COUNTRY_FAB_Name]],0))="","-",INDEX(Table_KEA[2020T],MATCH(Signatories!$C$5,Table_KEA[[COUNTRY_FAB_Name]:[COUNTRY_FAB_Name]],0))),"-")</f>
        <v>4.1000000000000002E-2</v>
      </c>
      <c r="F13" s="407">
        <f>F9</f>
        <v>3.8399999999999997E-2</v>
      </c>
      <c r="G13" s="407">
        <f>G9</f>
        <v>3.8399999999999997E-2</v>
      </c>
      <c r="H13" s="407">
        <f>H9</f>
        <v>3.8399999999999997E-2</v>
      </c>
      <c r="I13" s="407">
        <f>I9</f>
        <v>3.8399999999999997E-2</v>
      </c>
      <c r="J13" s="163"/>
    </row>
    <row r="14" spans="1:10" s="4" customFormat="1" ht="15.75">
      <c r="B14" s="231"/>
      <c r="C14" s="225"/>
      <c r="D14" s="225"/>
      <c r="E14" s="225"/>
      <c r="F14" s="225"/>
      <c r="G14" s="225"/>
      <c r="H14" s="225"/>
      <c r="I14" s="132"/>
    </row>
    <row r="15" spans="1:10" s="4" customFormat="1" ht="15.75">
      <c r="B15" s="50" t="s">
        <v>1425</v>
      </c>
      <c r="C15" s="223"/>
      <c r="D15" s="49"/>
      <c r="E15" s="49"/>
      <c r="F15" s="49"/>
      <c r="G15" s="49"/>
      <c r="H15" s="49"/>
    </row>
    <row r="16" spans="1:10" s="4" customFormat="1" ht="15.75">
      <c r="B16" s="226"/>
      <c r="C16" s="226"/>
      <c r="D16" s="226"/>
      <c r="E16" s="226"/>
      <c r="F16" s="226"/>
      <c r="G16" s="226"/>
      <c r="H16" s="51"/>
    </row>
    <row r="17" spans="2:13" s="4" customFormat="1" ht="58.5" customHeight="1">
      <c r="B17" s="883" t="s">
        <v>892</v>
      </c>
      <c r="C17" s="884"/>
      <c r="D17" s="884"/>
      <c r="E17" s="884"/>
      <c r="F17" s="884"/>
      <c r="G17" s="884"/>
      <c r="H17" s="884"/>
      <c r="I17" s="884"/>
      <c r="J17" s="144"/>
    </row>
    <row r="18" spans="2:13" s="4" customFormat="1" ht="15.75">
      <c r="B18" s="300" t="s">
        <v>1415</v>
      </c>
      <c r="C18" s="232"/>
      <c r="D18" s="232"/>
      <c r="E18" s="232"/>
      <c r="F18" s="232"/>
      <c r="G18" s="232"/>
      <c r="H18" s="225"/>
      <c r="I18" s="132"/>
    </row>
    <row r="20" spans="2:13" ht="15.75">
      <c r="B20" s="50" t="s">
        <v>1426</v>
      </c>
      <c r="C20" s="223"/>
      <c r="D20" s="49"/>
      <c r="E20" s="49"/>
      <c r="F20" s="49"/>
      <c r="G20" s="49"/>
      <c r="H20" s="49"/>
    </row>
    <row r="21" spans="2:13">
      <c r="B21" s="226"/>
      <c r="C21" s="226"/>
      <c r="D21" s="226"/>
      <c r="E21" s="226"/>
      <c r="F21" s="226"/>
      <c r="G21" s="226"/>
      <c r="H21" s="226"/>
    </row>
    <row r="22" spans="2:13" ht="324" customHeight="1">
      <c r="B22" s="880" t="s">
        <v>1935</v>
      </c>
      <c r="C22" s="881"/>
      <c r="D22" s="881"/>
      <c r="E22" s="881"/>
      <c r="F22" s="881"/>
      <c r="G22" s="881"/>
      <c r="H22" s="881"/>
      <c r="I22" s="882"/>
    </row>
    <row r="23" spans="2:13" ht="15.75">
      <c r="B23" s="300" t="s">
        <v>1415</v>
      </c>
      <c r="C23" s="232"/>
      <c r="D23" s="232"/>
      <c r="E23" s="232"/>
      <c r="F23" s="232"/>
      <c r="G23" s="232"/>
      <c r="H23" s="225"/>
      <c r="I23" s="132"/>
    </row>
    <row r="24" spans="2:13">
      <c r="B24"/>
      <c r="C24"/>
      <c r="D24"/>
      <c r="E24"/>
      <c r="F24"/>
      <c r="G24"/>
      <c r="H24"/>
    </row>
    <row r="25" spans="2:13">
      <c r="B25"/>
      <c r="C25"/>
      <c r="D25"/>
      <c r="E25"/>
      <c r="F25"/>
      <c r="G25"/>
      <c r="H25"/>
      <c r="M25" s="40"/>
    </row>
    <row r="26" spans="2:13">
      <c r="B26"/>
      <c r="C26"/>
      <c r="D26"/>
      <c r="E26"/>
      <c r="F26"/>
      <c r="G26"/>
      <c r="H26"/>
    </row>
    <row r="27" spans="2:13">
      <c r="B27"/>
      <c r="C27"/>
      <c r="D27"/>
      <c r="E27"/>
      <c r="F27"/>
      <c r="G27"/>
      <c r="H27"/>
    </row>
    <row r="28" spans="2:13">
      <c r="B28"/>
      <c r="C28"/>
      <c r="D28"/>
      <c r="E28"/>
      <c r="F28"/>
      <c r="G28"/>
      <c r="H28"/>
    </row>
    <row r="29" spans="2:13">
      <c r="B29"/>
      <c r="C29"/>
      <c r="D29"/>
      <c r="E29"/>
      <c r="F29"/>
      <c r="G29"/>
      <c r="H29"/>
    </row>
    <row r="30" spans="2:13">
      <c r="B30"/>
      <c r="C30"/>
      <c r="D30"/>
      <c r="E30"/>
      <c r="F30"/>
      <c r="G30"/>
      <c r="H30"/>
    </row>
  </sheetData>
  <sheetProtection formatCells="0" formatColumns="0" formatRows="0" insertHyperlinks="0"/>
  <mergeCells count="4">
    <mergeCell ref="B22:I22"/>
    <mergeCell ref="B17:I17"/>
    <mergeCell ref="B13:D13"/>
    <mergeCell ref="B9:C9"/>
  </mergeCells>
  <conditionalFormatting sqref="F9:I9 F13:I13">
    <cfRule type="expression" dxfId="812" priority="5">
      <formula>$A$2="PRINT"</formula>
    </cfRule>
  </conditionalFormatting>
  <conditionalFormatting sqref="D9">
    <cfRule type="expression" dxfId="811" priority="3">
      <formula>$A$2="PRINT"</formula>
    </cfRule>
  </conditionalFormatting>
  <conditionalFormatting sqref="E9">
    <cfRule type="expression" dxfId="810" priority="2">
      <formula>$A$2="PRINT"</formula>
    </cfRule>
  </conditionalFormatting>
  <conditionalFormatting sqref="E13">
    <cfRule type="expression" dxfId="809" priority="1">
      <formula>$A$2="PRINT"</formula>
    </cfRule>
  </conditionalFormatting>
  <pageMargins left="0.70866141732283472" right="0.70866141732283472" top="0.74803149606299213" bottom="0.74803149606299213" header="0.31496062992125984" footer="0.31496062992125984"/>
  <pageSetup paperSize="9" scale="70" fitToHeight="0" orientation="portrait" r:id="rId1"/>
  <headerFooter>
    <oddFooter>&amp;C&amp;P</oddFooter>
  </headerFooter>
  <drawing r:id="rId2"/>
  <picture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4">
    <tabColor theme="1"/>
    <pageSetUpPr fitToPage="1"/>
  </sheetPr>
  <dimension ref="A1:I19"/>
  <sheetViews>
    <sheetView showGridLines="0"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7" width="9.140625" style="10"/>
    <col min="8" max="8" width="34.42578125" style="10" customWidth="1"/>
    <col min="9" max="9" width="42.7109375" style="10" customWidth="1"/>
    <col min="10" max="16384" width="9.140625" style="10"/>
  </cols>
  <sheetData>
    <row r="1" spans="1:9" s="9" customFormat="1">
      <c r="A1" s="8"/>
      <c r="C1" s="36"/>
      <c r="D1" s="37"/>
    </row>
    <row r="2" spans="1:9" ht="21">
      <c r="A2" s="104"/>
      <c r="B2" s="621" t="s">
        <v>1053</v>
      </c>
      <c r="C2" s="621"/>
      <c r="D2" s="621"/>
      <c r="E2" s="621"/>
      <c r="F2" s="621"/>
    </row>
    <row r="3" spans="1:9">
      <c r="B3" s="138"/>
      <c r="C3" s="139"/>
      <c r="D3" s="140"/>
      <c r="E3" s="138"/>
      <c r="F3" s="138"/>
    </row>
    <row r="4" spans="1:9">
      <c r="B4"/>
      <c r="C4"/>
      <c r="D4"/>
      <c r="E4"/>
      <c r="F4"/>
      <c r="G4"/>
    </row>
    <row r="5" spans="1:9" ht="15" customHeight="1">
      <c r="B5" s="76" t="s">
        <v>1054</v>
      </c>
      <c r="C5"/>
      <c r="D5"/>
      <c r="E5"/>
      <c r="F5"/>
      <c r="G5"/>
    </row>
    <row r="6" spans="1:9">
      <c r="C6"/>
      <c r="D6"/>
      <c r="E6"/>
      <c r="F6"/>
      <c r="G6"/>
    </row>
    <row r="7" spans="1:9">
      <c r="B7" s="111" t="s">
        <v>1055</v>
      </c>
      <c r="C7"/>
      <c r="D7"/>
      <c r="E7"/>
      <c r="F7"/>
      <c r="G7"/>
    </row>
    <row r="8" spans="1:9">
      <c r="B8" s="345" t="s">
        <v>1429</v>
      </c>
      <c r="C8"/>
      <c r="D8"/>
      <c r="E8"/>
      <c r="F8"/>
      <c r="G8"/>
      <c r="H8"/>
      <c r="I8"/>
    </row>
    <row r="9" spans="1:9">
      <c r="B9" s="345" t="s">
        <v>1425</v>
      </c>
      <c r="C9"/>
      <c r="D9"/>
      <c r="E9"/>
      <c r="F9"/>
      <c r="G9"/>
      <c r="H9"/>
      <c r="I9"/>
    </row>
    <row r="10" spans="1:9">
      <c r="B10" s="345" t="s">
        <v>1427</v>
      </c>
      <c r="C10"/>
      <c r="D10"/>
      <c r="E10"/>
      <c r="F10"/>
      <c r="G10"/>
      <c r="H10"/>
      <c r="I10"/>
    </row>
    <row r="11" spans="1:9">
      <c r="B11" s="345" t="s">
        <v>1428</v>
      </c>
      <c r="C11"/>
      <c r="D11"/>
      <c r="E11"/>
      <c r="F11"/>
      <c r="G11"/>
      <c r="H11"/>
      <c r="I11"/>
    </row>
    <row r="12" spans="1:9">
      <c r="C12"/>
      <c r="D12"/>
      <c r="E12"/>
      <c r="F12"/>
      <c r="G12"/>
      <c r="H12"/>
      <c r="I12"/>
    </row>
    <row r="13" spans="1:9">
      <c r="B13" s="111" t="s">
        <v>1056</v>
      </c>
      <c r="C13"/>
      <c r="D13"/>
      <c r="E13"/>
      <c r="F13"/>
      <c r="G13"/>
      <c r="H13"/>
      <c r="I13"/>
    </row>
    <row r="14" spans="1:9">
      <c r="B14" s="345" t="s">
        <v>1429</v>
      </c>
      <c r="C14"/>
      <c r="D14"/>
      <c r="E14"/>
      <c r="F14"/>
      <c r="G14"/>
      <c r="H14"/>
      <c r="I14"/>
    </row>
    <row r="15" spans="1:9">
      <c r="B15" s="345" t="s">
        <v>1430</v>
      </c>
      <c r="C15"/>
      <c r="D15"/>
      <c r="E15"/>
      <c r="F15"/>
      <c r="G15"/>
      <c r="H15"/>
      <c r="I15"/>
    </row>
    <row r="16" spans="1:9">
      <c r="B16" s="345" t="s">
        <v>1431</v>
      </c>
      <c r="C16"/>
      <c r="D16"/>
      <c r="E16"/>
      <c r="F16"/>
      <c r="G16"/>
    </row>
    <row r="17" spans="2:7">
      <c r="B17" s="345"/>
      <c r="C17"/>
      <c r="D17"/>
      <c r="E17"/>
      <c r="F17"/>
      <c r="G17"/>
    </row>
    <row r="18" spans="2:7">
      <c r="B18" s="124" t="s">
        <v>1183</v>
      </c>
    </row>
    <row r="19" spans="2:7">
      <c r="B19" s="123" t="s">
        <v>1422</v>
      </c>
    </row>
  </sheetData>
  <sheetProtection formatCells="0" formatColumns="0" formatRows="0" insertHyperlinks="0"/>
  <mergeCells count="1">
    <mergeCell ref="B2:F2"/>
  </mergeCells>
  <hyperlinks>
    <hyperlink ref="B7" location="'3.3.1 En route'!B4" display="3.3.1 - Capacity KPI #1: En route ATFM delay per flight" xr:uid="{00000000-0004-0000-1C00-000000000000}"/>
    <hyperlink ref="B13" location="'3.3.2 Terminal'!B2" display="3.3.2 - Capacity KPI #2: Terminal and airport ANS ATFM arrival delay per flight" xr:uid="{00000000-0004-0000-1C00-000001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6">
    <tabColor theme="2" tint="-0.249977111117893"/>
    <pageSetUpPr fitToPage="1"/>
  </sheetPr>
  <dimension ref="A2:B83"/>
  <sheetViews>
    <sheetView showGridLines="0" zoomScaleNormal="100" workbookViewId="0">
      <selection activeCell="B33" sqref="B33"/>
    </sheetView>
  </sheetViews>
  <sheetFormatPr defaultColWidth="9.140625" defaultRowHeight="15"/>
  <cols>
    <col min="1" max="1" width="9.140625" style="3"/>
    <col min="2" max="2" width="100.7109375" style="29" customWidth="1"/>
    <col min="3" max="16384" width="9.140625" style="3"/>
  </cols>
  <sheetData>
    <row r="2" spans="1:2" ht="21">
      <c r="A2" s="104"/>
      <c r="B2" s="129" t="s">
        <v>232</v>
      </c>
    </row>
    <row r="3" spans="1:2">
      <c r="B3" s="130"/>
    </row>
    <row r="4" spans="1:2" hidden="1">
      <c r="B4" s="91" t="s">
        <v>245</v>
      </c>
    </row>
    <row r="5" spans="1:2" hidden="1">
      <c r="B5" s="92"/>
    </row>
    <row r="6" spans="1:2" hidden="1">
      <c r="B6" s="91" t="s">
        <v>918</v>
      </c>
    </row>
    <row r="7" spans="1:2" hidden="1"/>
    <row r="8" spans="1:2" hidden="1">
      <c r="B8" s="91" t="s">
        <v>246</v>
      </c>
    </row>
    <row r="9" spans="1:2" hidden="1"/>
    <row r="10" spans="1:2">
      <c r="B10" s="91" t="s">
        <v>247</v>
      </c>
    </row>
    <row r="11" spans="1:2">
      <c r="B11" s="93" t="s">
        <v>248</v>
      </c>
    </row>
    <row r="12" spans="1:2">
      <c r="B12" s="94" t="s">
        <v>251</v>
      </c>
    </row>
    <row r="13" spans="1:2">
      <c r="B13" s="93" t="s">
        <v>249</v>
      </c>
    </row>
    <row r="14" spans="1:2" ht="15" customHeight="1">
      <c r="B14" s="93" t="s">
        <v>1472</v>
      </c>
    </row>
    <row r="15" spans="1:2">
      <c r="B15" s="93" t="s">
        <v>256</v>
      </c>
    </row>
    <row r="16" spans="1:2">
      <c r="B16" s="93" t="s">
        <v>902</v>
      </c>
    </row>
    <row r="17" spans="2:2">
      <c r="B17" s="93" t="s">
        <v>903</v>
      </c>
    </row>
    <row r="19" spans="2:2">
      <c r="B19" s="91" t="s">
        <v>1209</v>
      </c>
    </row>
    <row r="21" spans="2:2">
      <c r="B21" s="91" t="s">
        <v>250</v>
      </c>
    </row>
    <row r="22" spans="2:2">
      <c r="B22" s="93" t="s">
        <v>1210</v>
      </c>
    </row>
    <row r="23" spans="2:2">
      <c r="B23" s="95" t="s">
        <v>1226</v>
      </c>
    </row>
    <row r="24" spans="2:2">
      <c r="B24" s="93" t="s">
        <v>1211</v>
      </c>
    </row>
    <row r="25" spans="2:2">
      <c r="B25" s="95" t="s">
        <v>1225</v>
      </c>
    </row>
    <row r="26" spans="2:2">
      <c r="B26" s="93" t="s">
        <v>1212</v>
      </c>
    </row>
    <row r="27" spans="2:2">
      <c r="B27" s="95" t="s">
        <v>1224</v>
      </c>
    </row>
    <row r="28" spans="2:2">
      <c r="B28" s="95" t="s">
        <v>1223</v>
      </c>
    </row>
    <row r="29" spans="2:2">
      <c r="B29" s="93" t="s">
        <v>1213</v>
      </c>
    </row>
    <row r="30" spans="2:2">
      <c r="B30" s="95" t="s">
        <v>1214</v>
      </c>
    </row>
    <row r="31" spans="2:2">
      <c r="B31" s="95" t="s">
        <v>1215</v>
      </c>
    </row>
    <row r="32" spans="2:2">
      <c r="B32" s="95" t="s">
        <v>1216</v>
      </c>
    </row>
    <row r="33" spans="2:2">
      <c r="B33" s="95" t="s">
        <v>1217</v>
      </c>
    </row>
    <row r="34" spans="2:2">
      <c r="B34" s="95" t="s">
        <v>1218</v>
      </c>
    </row>
    <row r="35" spans="2:2" ht="30" customHeight="1">
      <c r="B35" s="95" t="s">
        <v>1641</v>
      </c>
    </row>
    <row r="36" spans="2:2">
      <c r="B36" s="93" t="s">
        <v>1220</v>
      </c>
    </row>
    <row r="37" spans="2:2">
      <c r="B37" s="93" t="s">
        <v>1219</v>
      </c>
    </row>
    <row r="39" spans="2:2">
      <c r="B39" s="91" t="s">
        <v>904</v>
      </c>
    </row>
    <row r="40" spans="2:2">
      <c r="B40" s="93" t="s">
        <v>1221</v>
      </c>
    </row>
    <row r="41" spans="2:2">
      <c r="B41" s="95" t="s">
        <v>1222</v>
      </c>
    </row>
    <row r="42" spans="2:2">
      <c r="B42" s="95" t="s">
        <v>1227</v>
      </c>
    </row>
    <row r="43" spans="2:2">
      <c r="B43" s="93" t="s">
        <v>905</v>
      </c>
    </row>
    <row r="44" spans="2:2">
      <c r="B44" s="95" t="s">
        <v>1732</v>
      </c>
    </row>
    <row r="45" spans="2:2">
      <c r="B45" s="93" t="s">
        <v>1228</v>
      </c>
    </row>
    <row r="47" spans="2:2">
      <c r="B47" s="91" t="s">
        <v>906</v>
      </c>
    </row>
    <row r="48" spans="2:2">
      <c r="B48" s="93" t="s">
        <v>907</v>
      </c>
    </row>
    <row r="49" spans="2:2">
      <c r="B49" s="93" t="s">
        <v>908</v>
      </c>
    </row>
    <row r="50" spans="2:2">
      <c r="B50" s="95" t="s">
        <v>910</v>
      </c>
    </row>
    <row r="51" spans="2:2">
      <c r="B51" s="95" t="s">
        <v>911</v>
      </c>
    </row>
    <row r="52" spans="2:2">
      <c r="B52" s="93" t="s">
        <v>912</v>
      </c>
    </row>
    <row r="54" spans="2:2">
      <c r="B54" s="91" t="s">
        <v>913</v>
      </c>
    </row>
    <row r="55" spans="2:2">
      <c r="B55" s="93" t="s">
        <v>916</v>
      </c>
    </row>
    <row r="56" spans="2:2">
      <c r="B56" s="93" t="s">
        <v>917</v>
      </c>
    </row>
    <row r="58" spans="2:2">
      <c r="B58" s="91" t="s">
        <v>914</v>
      </c>
    </row>
    <row r="59" spans="2:2">
      <c r="B59" s="93" t="s">
        <v>410</v>
      </c>
    </row>
    <row r="60" spans="2:2">
      <c r="B60" s="93" t="s">
        <v>411</v>
      </c>
    </row>
    <row r="61" spans="2:2">
      <c r="B61" s="93" t="s">
        <v>915</v>
      </c>
    </row>
    <row r="62" spans="2:2">
      <c r="B62" s="93" t="s">
        <v>1173</v>
      </c>
    </row>
    <row r="63" spans="2:2">
      <c r="B63" s="93" t="s">
        <v>1172</v>
      </c>
    </row>
    <row r="64" spans="2:2">
      <c r="B64" s="93" t="s">
        <v>1174</v>
      </c>
    </row>
    <row r="65" spans="2:2">
      <c r="B65" s="93" t="s">
        <v>1175</v>
      </c>
    </row>
    <row r="66" spans="2:2">
      <c r="B66" s="93" t="s">
        <v>1176</v>
      </c>
    </row>
    <row r="67" spans="2:2">
      <c r="B67" s="93" t="s">
        <v>1177</v>
      </c>
    </row>
    <row r="68" spans="2:2">
      <c r="B68" s="93" t="s">
        <v>1178</v>
      </c>
    </row>
    <row r="69" spans="2:2">
      <c r="B69" s="93" t="s">
        <v>1179</v>
      </c>
    </row>
    <row r="70" spans="2:2">
      <c r="B70" s="93" t="s">
        <v>1180</v>
      </c>
    </row>
    <row r="71" spans="2:2">
      <c r="B71" s="93" t="s">
        <v>1187</v>
      </c>
    </row>
    <row r="72" spans="2:2">
      <c r="B72" s="93" t="s">
        <v>1199</v>
      </c>
    </row>
    <row r="73" spans="2:2">
      <c r="B73" s="93" t="s">
        <v>1420</v>
      </c>
    </row>
    <row r="74" spans="2:2">
      <c r="B74" s="93" t="s">
        <v>1421</v>
      </c>
    </row>
    <row r="75" spans="2:2">
      <c r="B75" s="93" t="s">
        <v>1422</v>
      </c>
    </row>
    <row r="76" spans="2:2">
      <c r="B76" s="93" t="s">
        <v>1423</v>
      </c>
    </row>
    <row r="77" spans="2:2">
      <c r="B77" s="93" t="s">
        <v>1493</v>
      </c>
    </row>
    <row r="78" spans="2:2" s="27" customFormat="1">
      <c r="B78" s="93" t="s">
        <v>1494</v>
      </c>
    </row>
    <row r="79" spans="2:2" s="27" customFormat="1">
      <c r="B79" s="93" t="s">
        <v>1558</v>
      </c>
    </row>
    <row r="80" spans="2:2">
      <c r="B80" s="93" t="s">
        <v>1181</v>
      </c>
    </row>
    <row r="81" spans="2:2">
      <c r="B81" s="122" t="s">
        <v>1182</v>
      </c>
    </row>
    <row r="83" spans="2:2">
      <c r="B83" s="93"/>
    </row>
  </sheetData>
  <sheetProtection formatCells="0" formatColumns="0" formatRows="0" insertHyperlinks="0"/>
  <pageMargins left="0.70866141732283472" right="0.70866141732283472" top="0.74803149606299213" bottom="0.74803149606299213" header="0.31496062992125984" footer="0.31496062992125984"/>
  <pageSetup paperSize="9" scale="86" fitToHeight="0" orientation="portrait" r:id="rId1"/>
  <headerFooter>
    <oddFooter>&amp;C&amp;P</oddFooter>
  </headerFooter>
  <picture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90">
    <tabColor rgb="FF00B0F0"/>
    <pageSetUpPr fitToPage="1"/>
  </sheetPr>
  <dimension ref="A1:X87"/>
  <sheetViews>
    <sheetView showGridLines="0" zoomScale="91" zoomScaleNormal="91" workbookViewId="0">
      <selection activeCell="B22" sqref="B22:I22"/>
    </sheetView>
  </sheetViews>
  <sheetFormatPr defaultColWidth="9.140625" defaultRowHeight="15"/>
  <cols>
    <col min="1" max="1" width="9.140625" style="3"/>
    <col min="2" max="2" width="45.7109375" style="3" customWidth="1"/>
    <col min="3" max="9" width="10.7109375" style="3" customWidth="1"/>
    <col min="10" max="10" width="5.85546875" style="3" customWidth="1"/>
    <col min="11" max="16384" width="9.140625" style="3"/>
  </cols>
  <sheetData>
    <row r="1" spans="1:10">
      <c r="B1" s="8"/>
    </row>
    <row r="2" spans="1:10" ht="18.75">
      <c r="A2" s="103"/>
      <c r="B2" s="42" t="s">
        <v>1054</v>
      </c>
    </row>
    <row r="3" spans="1:10">
      <c r="B3" s="18"/>
      <c r="C3" s="18"/>
      <c r="D3" s="17"/>
      <c r="E3" s="19"/>
      <c r="F3" s="19"/>
      <c r="G3" s="19"/>
      <c r="H3" s="19"/>
      <c r="I3" s="19"/>
    </row>
    <row r="4" spans="1:10" ht="15.75" customHeight="1" thickBot="1">
      <c r="B4" s="32" t="s">
        <v>1055</v>
      </c>
      <c r="C4" s="32"/>
      <c r="D4" s="32"/>
      <c r="E4" s="32"/>
      <c r="F4" s="32"/>
      <c r="G4" s="32"/>
      <c r="H4" s="32"/>
      <c r="I4" s="32"/>
    </row>
    <row r="5" spans="1:10" s="4" customFormat="1" ht="15.75">
      <c r="B5" s="233"/>
      <c r="C5" s="233"/>
      <c r="D5" s="233"/>
      <c r="E5" s="233"/>
      <c r="F5" s="233"/>
      <c r="G5" s="233"/>
      <c r="H5" s="203"/>
      <c r="I5" s="143"/>
    </row>
    <row r="6" spans="1:10" s="4" customFormat="1" ht="15.75">
      <c r="B6" s="50" t="s">
        <v>697</v>
      </c>
      <c r="C6" s="51"/>
      <c r="D6" s="49"/>
      <c r="E6" s="49"/>
      <c r="F6" s="49"/>
      <c r="G6" s="49"/>
      <c r="H6" s="49"/>
    </row>
    <row r="7" spans="1:10" ht="15.75">
      <c r="B7" s="20"/>
      <c r="C7" s="21"/>
      <c r="D7" s="21"/>
      <c r="E7" s="21"/>
      <c r="F7" s="21"/>
      <c r="G7" s="21"/>
      <c r="H7" s="51"/>
    </row>
    <row r="8" spans="1:10">
      <c r="D8" s="408" t="s">
        <v>1535</v>
      </c>
      <c r="E8" s="198">
        <v>2020</v>
      </c>
      <c r="F8" s="198">
        <v>2021</v>
      </c>
      <c r="G8" s="198">
        <v>2022</v>
      </c>
      <c r="H8" s="198">
        <v>2023</v>
      </c>
      <c r="I8" s="198">
        <v>2024</v>
      </c>
      <c r="J8" s="163"/>
    </row>
    <row r="9" spans="1:10" ht="15" customHeight="1">
      <c r="B9" s="234" t="s">
        <v>329</v>
      </c>
      <c r="C9" s="235"/>
      <c r="D9" s="410">
        <f>IFERROR(IF(INDEX(Table_ER_Delay[2020A],MATCH(Signatories!$C$5,Table_ER_Delay[[COUNTRY_FAB_Name]:[COUNTRY_FAB_Name]],0))="","-",INDEX(Table_ER_Delay[2020A],MATCH(Signatories!$C$5,Table_ER_Delay[[COUNTRY_FAB_Name]:[COUNTRY_FAB_Name]],0))),"-")</f>
        <v>0.20267900633219679</v>
      </c>
      <c r="E9" s="236" t="s">
        <v>1724</v>
      </c>
      <c r="F9" s="236">
        <f>IFERROR(IF(INDEX(Table_ER_Delay[2021RV],MATCH(Signatories!$C$5,Table_ER_Delay[[COUNTRY_FAB_Name]:[COUNTRY_FAB_Name]],0))="","-",INDEX(Table_ER_Delay[2021RV],MATCH(Signatories!$C$5,Table_ER_Delay[[COUNTRY_FAB_Name]:[COUNTRY_FAB_Name]],0))),"-")</f>
        <v>0.1</v>
      </c>
      <c r="G9" s="236">
        <f>IFERROR(IF(INDEX(Table_ER_Delay[2022RV],MATCH(Signatories!$C$5,Table_ER_Delay[[COUNTRY_FAB_Name]:[COUNTRY_FAB_Name]],0))="","-",INDEX(Table_ER_Delay[2022RV],MATCH(Signatories!$C$5,Table_ER_Delay[[COUNTRY_FAB_Name]:[COUNTRY_FAB_Name]],0))),"-")</f>
        <v>0.16</v>
      </c>
      <c r="H9" s="236">
        <f>IFERROR(IF(INDEX(Table_ER_Delay[2023RV],MATCH(Signatories!$C$5,Table_ER_Delay[[COUNTRY_FAB_Name]:[COUNTRY_FAB_Name]],0))="","-",INDEX(Table_ER_Delay[2023RV],MATCH(Signatories!$C$5,Table_ER_Delay[[COUNTRY_FAB_Name]:[COUNTRY_FAB_Name]],0))),"-")</f>
        <v>0.15</v>
      </c>
      <c r="I9" s="236">
        <f>IFERROR(IF(INDEX(Table_ER_Delay[2024RV],MATCH(Signatories!$C$5,Table_ER_Delay[[COUNTRY_FAB_Name]:[COUNTRY_FAB_Name]],0))="","-",INDEX(Table_ER_Delay[2024RV],MATCH(Signatories!$C$5,Table_ER_Delay[[COUNTRY_FAB_Name]:[COUNTRY_FAB_Name]],0))),"-")</f>
        <v>0.15</v>
      </c>
      <c r="J9" s="163"/>
    </row>
    <row r="10" spans="1:10">
      <c r="B10" s="228"/>
      <c r="C10" s="229"/>
      <c r="D10" s="229"/>
      <c r="E10" s="201"/>
      <c r="F10" s="201"/>
      <c r="G10" s="201"/>
      <c r="H10" s="201"/>
      <c r="I10" s="201"/>
    </row>
    <row r="11" spans="1:10">
      <c r="E11" s="198">
        <v>2020</v>
      </c>
      <c r="F11" s="198">
        <v>2021</v>
      </c>
      <c r="G11" s="198">
        <v>2022</v>
      </c>
      <c r="H11" s="198">
        <v>2023</v>
      </c>
      <c r="I11" s="198">
        <v>2024</v>
      </c>
      <c r="J11" s="163"/>
    </row>
    <row r="12" spans="1:10">
      <c r="E12" s="198" t="s">
        <v>30</v>
      </c>
      <c r="F12" s="198" t="s">
        <v>30</v>
      </c>
      <c r="G12" s="198" t="s">
        <v>30</v>
      </c>
      <c r="H12" s="198" t="s">
        <v>30</v>
      </c>
      <c r="I12" s="198" t="s">
        <v>30</v>
      </c>
      <c r="J12" s="163"/>
    </row>
    <row r="13" spans="1:10">
      <c r="B13" s="346" t="s">
        <v>931</v>
      </c>
      <c r="C13" s="347"/>
      <c r="D13" s="347"/>
      <c r="E13" s="236">
        <f>IFERROR(IF(INDEX(Table_ER_Delay[2020T],MATCH(Signatories!$C$5,Table_ER_Delay[[COUNTRY_FAB_Name]:[COUNTRY_FAB_Name]],0))="","-",INDEX(Table_ER_Delay[2020T],MATCH(Signatories!$C$5,Table_ER_Delay[[COUNTRY_FAB_Name]:[COUNTRY_FAB_Name]],0))),"-")</f>
        <v>1</v>
      </c>
      <c r="F13" s="236">
        <f>IFERROR(IF(INDEX(Table_ER_Delay[2021RV],MATCH(Signatories!$C$5,Table_ER_Delay[[COUNTRY_FAB_Name]:[COUNTRY_FAB_Name]],0))="","-",INDEX(Table_ER_Delay[2021RV],MATCH(Signatories!$C$5,Table_ER_Delay[[COUNTRY_FAB_Name]:[COUNTRY_FAB_Name]],0))),"-")</f>
        <v>0.1</v>
      </c>
      <c r="G13" s="299">
        <v>0.16</v>
      </c>
      <c r="H13" s="299">
        <v>0.15</v>
      </c>
      <c r="I13" s="299">
        <v>0.15</v>
      </c>
      <c r="J13" s="163"/>
    </row>
    <row r="14" spans="1:10">
      <c r="B14"/>
      <c r="C14" s="152"/>
      <c r="D14" s="152"/>
      <c r="E14" s="152"/>
      <c r="F14" s="152"/>
      <c r="G14" s="152"/>
      <c r="H14" s="152"/>
      <c r="I14" s="152"/>
    </row>
    <row r="15" spans="1:10" ht="15.75">
      <c r="B15" s="50" t="s">
        <v>1425</v>
      </c>
      <c r="C15" s="11"/>
      <c r="D15" s="11"/>
      <c r="E15" s="11"/>
      <c r="F15" s="11"/>
      <c r="G15" s="11"/>
      <c r="H15" s="11"/>
      <c r="I15" s="11"/>
    </row>
    <row r="16" spans="1:10" ht="15.75">
      <c r="B16" s="348"/>
      <c r="C16" s="51"/>
      <c r="D16" s="49"/>
      <c r="E16" s="49"/>
      <c r="F16" s="49"/>
      <c r="G16" s="49"/>
      <c r="H16" s="49"/>
    </row>
    <row r="17" spans="1:24" ht="83.25" customHeight="1">
      <c r="B17" s="890" t="s">
        <v>1884</v>
      </c>
      <c r="C17" s="891"/>
      <c r="D17" s="891"/>
      <c r="E17" s="891"/>
      <c r="F17" s="891"/>
      <c r="G17" s="891"/>
      <c r="H17" s="891"/>
      <c r="I17" s="892"/>
      <c r="Q17"/>
      <c r="R17"/>
      <c r="S17"/>
      <c r="T17"/>
      <c r="U17"/>
      <c r="V17"/>
      <c r="W17"/>
      <c r="X17"/>
    </row>
    <row r="18" spans="1:24">
      <c r="B18" s="344" t="s">
        <v>1417</v>
      </c>
      <c r="Q18"/>
      <c r="R18"/>
      <c r="S18"/>
      <c r="T18"/>
      <c r="U18"/>
      <c r="V18"/>
      <c r="W18"/>
      <c r="X18"/>
    </row>
    <row r="19" spans="1:24">
      <c r="Q19"/>
      <c r="R19"/>
      <c r="S19"/>
      <c r="T19"/>
      <c r="U19"/>
      <c r="V19"/>
      <c r="W19"/>
      <c r="X19"/>
    </row>
    <row r="20" spans="1:24" s="4" customFormat="1" ht="15.75">
      <c r="B20" s="50" t="s">
        <v>1427</v>
      </c>
      <c r="C20" s="51"/>
      <c r="D20" s="51"/>
      <c r="E20" s="51"/>
      <c r="F20" s="51"/>
      <c r="G20" s="51"/>
      <c r="H20" s="51"/>
      <c r="Q20"/>
      <c r="R20"/>
      <c r="S20"/>
      <c r="T20"/>
      <c r="U20"/>
      <c r="V20"/>
      <c r="W20"/>
      <c r="X20"/>
    </row>
    <row r="21" spans="1:24" s="4" customFormat="1" ht="15.75">
      <c r="B21" s="226"/>
      <c r="C21" s="226"/>
      <c r="D21" s="226"/>
      <c r="E21" s="226"/>
      <c r="F21" s="226"/>
      <c r="G21" s="226"/>
      <c r="H21" s="51"/>
      <c r="Q21"/>
      <c r="R21"/>
      <c r="S21"/>
      <c r="T21"/>
      <c r="U21"/>
      <c r="V21"/>
      <c r="W21"/>
      <c r="X21"/>
    </row>
    <row r="22" spans="1:24" s="4" customFormat="1" ht="85.5" customHeight="1">
      <c r="B22" s="883" t="s">
        <v>1915</v>
      </c>
      <c r="C22" s="884"/>
      <c r="D22" s="884"/>
      <c r="E22" s="884"/>
      <c r="F22" s="884"/>
      <c r="G22" s="884"/>
      <c r="H22" s="884"/>
      <c r="I22" s="884"/>
      <c r="J22" s="144"/>
      <c r="Q22"/>
      <c r="R22"/>
      <c r="S22"/>
      <c r="T22"/>
      <c r="U22"/>
      <c r="V22"/>
      <c r="W22"/>
      <c r="X22"/>
    </row>
    <row r="23" spans="1:24" ht="30" customHeight="1">
      <c r="B23" s="300" t="s">
        <v>1417</v>
      </c>
      <c r="C23" s="237"/>
      <c r="D23" s="237"/>
      <c r="E23" s="237"/>
      <c r="F23" s="237"/>
      <c r="G23" s="237"/>
      <c r="H23" s="237"/>
      <c r="I23" s="237"/>
      <c r="Q23"/>
      <c r="R23"/>
      <c r="S23"/>
      <c r="T23"/>
      <c r="U23"/>
      <c r="V23"/>
      <c r="W23"/>
      <c r="X23"/>
    </row>
    <row r="24" spans="1:24" ht="15.75">
      <c r="B24" s="50" t="s">
        <v>1428</v>
      </c>
      <c r="Q24"/>
      <c r="R24"/>
      <c r="S24"/>
      <c r="T24"/>
      <c r="U24"/>
      <c r="V24"/>
      <c r="W24"/>
      <c r="X24"/>
    </row>
    <row r="25" spans="1:24" ht="15.75">
      <c r="B25" s="50"/>
      <c r="Q25"/>
      <c r="R25"/>
      <c r="S25"/>
      <c r="T25"/>
      <c r="U25"/>
      <c r="V25"/>
      <c r="W25"/>
      <c r="X25"/>
    </row>
    <row r="26" spans="1:24" ht="15.75">
      <c r="B26" s="50"/>
      <c r="C26" s="894" t="s">
        <v>1128</v>
      </c>
      <c r="D26" s="894"/>
      <c r="E26" s="894"/>
      <c r="F26" s="895" t="s">
        <v>1129</v>
      </c>
      <c r="G26" s="895"/>
      <c r="H26" s="895"/>
      <c r="I26" s="895"/>
      <c r="J26" s="163"/>
      <c r="Q26"/>
      <c r="R26"/>
      <c r="S26"/>
      <c r="T26"/>
      <c r="U26"/>
      <c r="V26"/>
      <c r="W26"/>
      <c r="X26"/>
    </row>
    <row r="27" spans="1:24">
      <c r="A27" s="100">
        <v>1</v>
      </c>
      <c r="B27" s="238" t="str">
        <f>INDEX(Table_ACCs[ACC_Long_Name],MATCH(Signatories!$C$5,Table_ACCs[Country_Name],0))</f>
        <v>Nicosia (LCCC ACC)</v>
      </c>
      <c r="C27" s="512">
        <v>2018</v>
      </c>
      <c r="D27" s="512">
        <v>2019</v>
      </c>
      <c r="E27" s="512">
        <v>2020</v>
      </c>
      <c r="F27" s="502">
        <v>2021</v>
      </c>
      <c r="G27" s="502">
        <v>2022</v>
      </c>
      <c r="H27" s="502">
        <v>2023</v>
      </c>
      <c r="I27" s="502">
        <v>2024</v>
      </c>
      <c r="J27" s="163"/>
      <c r="Q27"/>
      <c r="R27"/>
      <c r="S27"/>
      <c r="T27"/>
      <c r="U27"/>
      <c r="V27"/>
      <c r="W27"/>
      <c r="X27"/>
    </row>
    <row r="28" spans="1:24" ht="30">
      <c r="A28" s="100"/>
      <c r="B28" s="239" t="s">
        <v>1130</v>
      </c>
      <c r="C28" s="240">
        <v>0</v>
      </c>
      <c r="D28" s="503">
        <v>0</v>
      </c>
      <c r="E28" s="503">
        <v>0</v>
      </c>
      <c r="F28" s="504">
        <v>8</v>
      </c>
      <c r="G28" s="504">
        <v>11</v>
      </c>
      <c r="H28" s="504">
        <v>10</v>
      </c>
      <c r="I28" s="504">
        <v>8</v>
      </c>
      <c r="J28" s="163"/>
      <c r="L28" s="494"/>
      <c r="M28" s="494"/>
    </row>
    <row r="29" spans="1:24" ht="30">
      <c r="A29" s="100"/>
      <c r="B29" s="239" t="s">
        <v>1387</v>
      </c>
      <c r="C29" s="240">
        <v>0</v>
      </c>
      <c r="D29" s="503">
        <v>3</v>
      </c>
      <c r="E29" s="503">
        <v>5</v>
      </c>
      <c r="F29" s="504">
        <v>3</v>
      </c>
      <c r="G29" s="504">
        <v>2</v>
      </c>
      <c r="H29" s="504">
        <v>3</v>
      </c>
      <c r="I29" s="504">
        <v>2</v>
      </c>
      <c r="J29" s="163"/>
    </row>
    <row r="30" spans="1:24" ht="30">
      <c r="A30" s="100"/>
      <c r="B30" s="518" t="s">
        <v>1384</v>
      </c>
      <c r="C30" s="503">
        <v>81</v>
      </c>
      <c r="D30" s="504">
        <f t="shared" ref="D30:F30" si="0">C30+D28-D29</f>
        <v>78</v>
      </c>
      <c r="E30" s="504">
        <f t="shared" si="0"/>
        <v>73</v>
      </c>
      <c r="F30" s="596">
        <f t="shared" si="0"/>
        <v>78</v>
      </c>
      <c r="G30" s="596">
        <f t="shared" ref="G30" si="1">F30+G28-G29</f>
        <v>87</v>
      </c>
      <c r="H30" s="596">
        <f t="shared" ref="H30" si="2">G30+H28-H29</f>
        <v>94</v>
      </c>
      <c r="I30" s="546">
        <f t="shared" ref="I30" si="3">H30+I28-I29</f>
        <v>100</v>
      </c>
      <c r="K30" s="498"/>
      <c r="L30" s="498"/>
      <c r="M30" s="498"/>
      <c r="N30" s="498"/>
      <c r="O30" s="498"/>
    </row>
    <row r="31" spans="1:24" ht="15.75">
      <c r="A31" s="100"/>
      <c r="B31" s="231"/>
      <c r="C31" s="237"/>
      <c r="D31" s="237"/>
      <c r="E31" s="237"/>
      <c r="F31" s="495"/>
      <c r="G31" s="495"/>
      <c r="H31" s="495"/>
      <c r="I31" s="498"/>
      <c r="J31" s="494"/>
    </row>
    <row r="32" spans="1:24" ht="15.75" hidden="1">
      <c r="A32" s="100"/>
      <c r="B32" s="50"/>
      <c r="C32" s="888" t="s">
        <v>1128</v>
      </c>
      <c r="D32" s="888"/>
      <c r="E32" s="888"/>
      <c r="F32" s="889" t="s">
        <v>1129</v>
      </c>
      <c r="G32" s="889"/>
      <c r="H32" s="889"/>
      <c r="I32" s="889"/>
      <c r="J32" s="163"/>
    </row>
    <row r="33" spans="1:12" hidden="1">
      <c r="A33" s="100">
        <v>2</v>
      </c>
      <c r="B33" s="238" t="str">
        <f>IF(COUNTIF(Table_ACCs[Country_Name],Signatories!$C$5)&gt;=A33,INDEX(Table_ACCs[ACC_Long_Name],MATCH(Signatories!$C$5,Table_ACCs[Country_Name],0)+A33-1),"")</f>
        <v/>
      </c>
      <c r="C33" s="198">
        <v>2018</v>
      </c>
      <c r="D33" s="198">
        <v>2019</v>
      </c>
      <c r="E33" s="198">
        <v>2020</v>
      </c>
      <c r="F33" s="198">
        <v>2021</v>
      </c>
      <c r="G33" s="198">
        <v>2022</v>
      </c>
      <c r="H33" s="198">
        <v>2023</v>
      </c>
      <c r="I33" s="198">
        <v>2024</v>
      </c>
      <c r="J33" s="163"/>
    </row>
    <row r="34" spans="1:12" ht="30" hidden="1">
      <c r="A34" s="100"/>
      <c r="B34" s="239" t="s">
        <v>1130</v>
      </c>
      <c r="C34" s="240"/>
      <c r="D34" s="240"/>
      <c r="E34" s="240"/>
      <c r="F34" s="240"/>
      <c r="G34" s="240"/>
      <c r="H34" s="240"/>
      <c r="I34" s="240"/>
      <c r="J34" s="163"/>
    </row>
    <row r="35" spans="1:12" ht="30" hidden="1">
      <c r="A35" s="100"/>
      <c r="B35" s="239" t="s">
        <v>1387</v>
      </c>
      <c r="C35" s="240"/>
      <c r="D35" s="240"/>
      <c r="E35" s="240"/>
      <c r="F35" s="240"/>
      <c r="G35" s="240"/>
      <c r="H35" s="240"/>
      <c r="I35" s="240"/>
      <c r="J35" s="163"/>
    </row>
    <row r="36" spans="1:12" ht="30" hidden="1">
      <c r="A36" s="100"/>
      <c r="B36" s="239" t="s">
        <v>1384</v>
      </c>
      <c r="C36" s="240"/>
      <c r="D36" s="241">
        <f>C36+D34-D35</f>
        <v>0</v>
      </c>
      <c r="E36" s="241">
        <f t="shared" ref="E36" si="4">D36+E34-E35</f>
        <v>0</v>
      </c>
      <c r="F36" s="241">
        <f t="shared" ref="F36" si="5">E36+F34-F35</f>
        <v>0</v>
      </c>
      <c r="G36" s="241">
        <f t="shared" ref="G36" si="6">F36+G34-G35</f>
        <v>0</v>
      </c>
      <c r="H36" s="241">
        <f t="shared" ref="H36" si="7">G36+H34-H35</f>
        <v>0</v>
      </c>
      <c r="I36" s="241">
        <f t="shared" ref="I36" si="8">H36+I34-I35</f>
        <v>0</v>
      </c>
      <c r="J36" s="163"/>
      <c r="L36" s="40"/>
    </row>
    <row r="37" spans="1:12" ht="15.75" hidden="1">
      <c r="A37" s="100"/>
      <c r="B37" s="231"/>
      <c r="C37" s="237"/>
      <c r="D37" s="237"/>
      <c r="E37" s="237"/>
      <c r="F37" s="237"/>
      <c r="G37" s="237"/>
      <c r="H37" s="237"/>
      <c r="I37" s="237"/>
    </row>
    <row r="38" spans="1:12" ht="15.75" hidden="1">
      <c r="A38" s="100"/>
      <c r="B38" s="50"/>
      <c r="C38" s="888" t="s">
        <v>1128</v>
      </c>
      <c r="D38" s="888"/>
      <c r="E38" s="888"/>
      <c r="F38" s="889" t="s">
        <v>1129</v>
      </c>
      <c r="G38" s="889"/>
      <c r="H38" s="889"/>
      <c r="I38" s="889"/>
      <c r="J38" s="163"/>
    </row>
    <row r="39" spans="1:12" hidden="1">
      <c r="A39" s="100">
        <v>3</v>
      </c>
      <c r="B39" s="238" t="str">
        <f>IF(COUNTIF(Table_ACCs[Country_Name],Signatories!$C$5)&gt;=A39,INDEX(Table_ACCs[ACC_Long_Name],MATCH(Signatories!$C$5,Table_ACCs[Country_Name],0)+A39-1),"")</f>
        <v/>
      </c>
      <c r="C39" s="198">
        <v>2018</v>
      </c>
      <c r="D39" s="198">
        <v>2019</v>
      </c>
      <c r="E39" s="198">
        <v>2020</v>
      </c>
      <c r="F39" s="198">
        <v>2021</v>
      </c>
      <c r="G39" s="198">
        <v>2022</v>
      </c>
      <c r="H39" s="198">
        <v>2023</v>
      </c>
      <c r="I39" s="198">
        <v>2024</v>
      </c>
      <c r="J39" s="163"/>
    </row>
    <row r="40" spans="1:12" ht="30" hidden="1">
      <c r="A40" s="100"/>
      <c r="B40" s="239" t="s">
        <v>1130</v>
      </c>
      <c r="C40" s="240"/>
      <c r="D40" s="240"/>
      <c r="E40" s="240"/>
      <c r="F40" s="240"/>
      <c r="G40" s="240"/>
      <c r="H40" s="240"/>
      <c r="I40" s="240"/>
      <c r="J40" s="163"/>
    </row>
    <row r="41" spans="1:12" ht="30" hidden="1">
      <c r="A41" s="100"/>
      <c r="B41" s="239" t="s">
        <v>1387</v>
      </c>
      <c r="C41" s="240"/>
      <c r="D41" s="240"/>
      <c r="E41" s="240"/>
      <c r="F41" s="240"/>
      <c r="G41" s="240"/>
      <c r="H41" s="240"/>
      <c r="I41" s="240"/>
      <c r="J41" s="163"/>
    </row>
    <row r="42" spans="1:12" ht="30" hidden="1">
      <c r="A42" s="100"/>
      <c r="B42" s="239" t="s">
        <v>1384</v>
      </c>
      <c r="C42" s="240"/>
      <c r="D42" s="241">
        <f>C42+D40-D41</f>
        <v>0</v>
      </c>
      <c r="E42" s="241">
        <f t="shared" ref="E42" si="9">D42+E40-E41</f>
        <v>0</v>
      </c>
      <c r="F42" s="241">
        <f t="shared" ref="F42" si="10">E42+F40-F41</f>
        <v>0</v>
      </c>
      <c r="G42" s="241">
        <f t="shared" ref="G42" si="11">F42+G40-G41</f>
        <v>0</v>
      </c>
      <c r="H42" s="241">
        <f t="shared" ref="H42" si="12">G42+H40-H41</f>
        <v>0</v>
      </c>
      <c r="I42" s="241">
        <f t="shared" ref="I42" si="13">H42+I40-I41</f>
        <v>0</v>
      </c>
      <c r="J42" s="163"/>
      <c r="L42" s="40"/>
    </row>
    <row r="43" spans="1:12" ht="15.75" hidden="1">
      <c r="A43" s="100"/>
      <c r="B43" s="231"/>
      <c r="C43" s="237"/>
      <c r="D43" s="237"/>
      <c r="E43" s="237"/>
      <c r="F43" s="237"/>
      <c r="G43" s="237"/>
      <c r="H43" s="237"/>
      <c r="I43" s="237"/>
    </row>
    <row r="44" spans="1:12" ht="15.75" hidden="1">
      <c r="A44" s="100"/>
      <c r="B44" s="50"/>
      <c r="C44" s="888" t="s">
        <v>1128</v>
      </c>
      <c r="D44" s="888"/>
      <c r="E44" s="888"/>
      <c r="F44" s="889" t="s">
        <v>1129</v>
      </c>
      <c r="G44" s="889"/>
      <c r="H44" s="889"/>
      <c r="I44" s="889"/>
      <c r="J44" s="163"/>
    </row>
    <row r="45" spans="1:12" hidden="1">
      <c r="A45" s="100">
        <v>4</v>
      </c>
      <c r="B45" s="238" t="str">
        <f>IF(COUNTIF(Table_ACCs[Country_Name],Signatories!$C$5)&gt;=A45,INDEX(Table_ACCs[ACC_Long_Name],MATCH(Signatories!$C$5,Table_ACCs[Country_Name],0)+A45-1),"")</f>
        <v/>
      </c>
      <c r="C45" s="198">
        <v>2018</v>
      </c>
      <c r="D45" s="198">
        <v>2019</v>
      </c>
      <c r="E45" s="198">
        <v>2020</v>
      </c>
      <c r="F45" s="198">
        <v>2021</v>
      </c>
      <c r="G45" s="198">
        <v>2022</v>
      </c>
      <c r="H45" s="198">
        <v>2023</v>
      </c>
      <c r="I45" s="198">
        <v>2024</v>
      </c>
      <c r="J45" s="163"/>
    </row>
    <row r="46" spans="1:12" ht="30" hidden="1">
      <c r="A46" s="100"/>
      <c r="B46" s="239" t="s">
        <v>1130</v>
      </c>
      <c r="C46" s="240"/>
      <c r="D46" s="240"/>
      <c r="E46" s="240"/>
      <c r="F46" s="240"/>
      <c r="G46" s="240"/>
      <c r="H46" s="240"/>
      <c r="I46" s="240"/>
      <c r="J46" s="163"/>
    </row>
    <row r="47" spans="1:12" ht="30" hidden="1">
      <c r="A47" s="100"/>
      <c r="B47" s="239" t="s">
        <v>1387</v>
      </c>
      <c r="C47" s="240"/>
      <c r="D47" s="240"/>
      <c r="E47" s="240"/>
      <c r="F47" s="240"/>
      <c r="G47" s="240"/>
      <c r="H47" s="240"/>
      <c r="I47" s="240"/>
      <c r="J47" s="163"/>
    </row>
    <row r="48" spans="1:12" ht="30" hidden="1">
      <c r="A48" s="100"/>
      <c r="B48" s="239" t="s">
        <v>1384</v>
      </c>
      <c r="C48" s="240"/>
      <c r="D48" s="241">
        <f>C48+D46-D47</f>
        <v>0</v>
      </c>
      <c r="E48" s="241">
        <f t="shared" ref="E48" si="14">D48+E46-E47</f>
        <v>0</v>
      </c>
      <c r="F48" s="241">
        <f t="shared" ref="F48" si="15">E48+F46-F47</f>
        <v>0</v>
      </c>
      <c r="G48" s="241">
        <f t="shared" ref="G48" si="16">F48+G46-G47</f>
        <v>0</v>
      </c>
      <c r="H48" s="241">
        <f t="shared" ref="H48" si="17">G48+H46-H47</f>
        <v>0</v>
      </c>
      <c r="I48" s="241">
        <f t="shared" ref="I48" si="18">H48+I46-I47</f>
        <v>0</v>
      </c>
      <c r="J48" s="163"/>
      <c r="L48" s="40"/>
    </row>
    <row r="49" spans="1:12" ht="15.75" hidden="1">
      <c r="A49" s="100"/>
      <c r="B49" s="231"/>
      <c r="C49" s="237"/>
      <c r="D49" s="237"/>
      <c r="E49" s="237"/>
      <c r="F49" s="237"/>
      <c r="G49" s="237"/>
      <c r="H49" s="237"/>
      <c r="I49" s="237"/>
    </row>
    <row r="50" spans="1:12" ht="15.75" hidden="1">
      <c r="A50" s="100"/>
      <c r="B50" s="50"/>
      <c r="C50" s="888" t="s">
        <v>1128</v>
      </c>
      <c r="D50" s="888"/>
      <c r="E50" s="888"/>
      <c r="F50" s="889" t="s">
        <v>1129</v>
      </c>
      <c r="G50" s="889"/>
      <c r="H50" s="889"/>
      <c r="I50" s="889"/>
      <c r="J50" s="163"/>
    </row>
    <row r="51" spans="1:12" hidden="1">
      <c r="A51" s="100">
        <v>5</v>
      </c>
      <c r="B51" s="238" t="str">
        <f>IF(COUNTIF(Table_ACCs[Country_Name],Signatories!$C$5)&gt;=A51,INDEX(Table_ACCs[ACC_Long_Name],MATCH(Signatories!$C$5,Table_ACCs[Country_Name],0)+A51-1),"")</f>
        <v/>
      </c>
      <c r="C51" s="198">
        <v>2018</v>
      </c>
      <c r="D51" s="198">
        <v>2019</v>
      </c>
      <c r="E51" s="198">
        <v>2020</v>
      </c>
      <c r="F51" s="198">
        <v>2021</v>
      </c>
      <c r="G51" s="198">
        <v>2022</v>
      </c>
      <c r="H51" s="198">
        <v>2023</v>
      </c>
      <c r="I51" s="198">
        <v>2024</v>
      </c>
      <c r="J51" s="163"/>
    </row>
    <row r="52" spans="1:12" ht="30" hidden="1">
      <c r="A52" s="100"/>
      <c r="B52" s="239" t="s">
        <v>1130</v>
      </c>
      <c r="C52" s="240"/>
      <c r="D52" s="240"/>
      <c r="E52" s="240"/>
      <c r="F52" s="240"/>
      <c r="G52" s="240"/>
      <c r="H52" s="240"/>
      <c r="I52" s="240"/>
      <c r="J52" s="163"/>
    </row>
    <row r="53" spans="1:12" ht="30" hidden="1">
      <c r="A53" s="100"/>
      <c r="B53" s="239" t="s">
        <v>1387</v>
      </c>
      <c r="C53" s="240"/>
      <c r="D53" s="240"/>
      <c r="E53" s="240"/>
      <c r="F53" s="240"/>
      <c r="G53" s="240"/>
      <c r="H53" s="240"/>
      <c r="I53" s="240"/>
      <c r="J53" s="163"/>
    </row>
    <row r="54" spans="1:12" ht="30" hidden="1">
      <c r="A54" s="100"/>
      <c r="B54" s="239" t="s">
        <v>1385</v>
      </c>
      <c r="C54" s="240"/>
      <c r="D54" s="241">
        <f>C54+D52-D53</f>
        <v>0</v>
      </c>
      <c r="E54" s="241">
        <f t="shared" ref="E54" si="19">D54+E52-E53</f>
        <v>0</v>
      </c>
      <c r="F54" s="241">
        <f t="shared" ref="F54" si="20">E54+F52-F53</f>
        <v>0</v>
      </c>
      <c r="G54" s="241">
        <f t="shared" ref="G54" si="21">F54+G52-G53</f>
        <v>0</v>
      </c>
      <c r="H54" s="241">
        <f t="shared" ref="H54" si="22">G54+H52-H53</f>
        <v>0</v>
      </c>
      <c r="I54" s="241">
        <f t="shared" ref="I54" si="23">H54+I52-I53</f>
        <v>0</v>
      </c>
      <c r="J54" s="163"/>
      <c r="L54" s="40"/>
    </row>
    <row r="55" spans="1:12" ht="15.75" hidden="1">
      <c r="A55" s="100"/>
      <c r="B55" s="231"/>
      <c r="C55" s="237"/>
      <c r="D55" s="237"/>
      <c r="E55" s="237"/>
      <c r="F55" s="237"/>
      <c r="G55" s="237"/>
      <c r="H55" s="237"/>
      <c r="I55" s="237"/>
    </row>
    <row r="56" spans="1:12" ht="15.75" hidden="1">
      <c r="A56" s="100"/>
      <c r="B56" s="50"/>
      <c r="C56" s="888" t="s">
        <v>1128</v>
      </c>
      <c r="D56" s="888"/>
      <c r="E56" s="888"/>
      <c r="F56" s="889" t="s">
        <v>1129</v>
      </c>
      <c r="G56" s="889"/>
      <c r="H56" s="889"/>
      <c r="I56" s="889"/>
      <c r="J56" s="163"/>
    </row>
    <row r="57" spans="1:12" hidden="1">
      <c r="A57" s="100">
        <v>6</v>
      </c>
      <c r="B57" s="238" t="str">
        <f>IF(COUNTIF(Table_ACCs[Country_Name],Signatories!$C$5)&gt;=A57,INDEX(Table_ACCs[ACC_Long_Name],MATCH(Signatories!$C$5,Table_ACCs[Country_Name],0)+A57-1),"")</f>
        <v/>
      </c>
      <c r="C57" s="198">
        <v>2018</v>
      </c>
      <c r="D57" s="198">
        <v>2019</v>
      </c>
      <c r="E57" s="198">
        <v>2020</v>
      </c>
      <c r="F57" s="198">
        <v>2021</v>
      </c>
      <c r="G57" s="198">
        <v>2022</v>
      </c>
      <c r="H57" s="198">
        <v>2023</v>
      </c>
      <c r="I57" s="198">
        <v>2024</v>
      </c>
      <c r="J57" s="163"/>
    </row>
    <row r="58" spans="1:12" ht="30" hidden="1">
      <c r="A58" s="100"/>
      <c r="B58" s="239" t="s">
        <v>1130</v>
      </c>
      <c r="C58" s="240"/>
      <c r="D58" s="240"/>
      <c r="E58" s="240"/>
      <c r="F58" s="240"/>
      <c r="G58" s="240"/>
      <c r="H58" s="240"/>
      <c r="I58" s="240"/>
      <c r="J58" s="163"/>
    </row>
    <row r="59" spans="1:12" ht="30" hidden="1">
      <c r="A59" s="100"/>
      <c r="B59" s="239" t="s">
        <v>1387</v>
      </c>
      <c r="C59" s="240"/>
      <c r="D59" s="240"/>
      <c r="E59" s="240"/>
      <c r="F59" s="240"/>
      <c r="G59" s="240"/>
      <c r="H59" s="240"/>
      <c r="I59" s="240"/>
      <c r="J59" s="163"/>
    </row>
    <row r="60" spans="1:12" ht="30" hidden="1">
      <c r="A60" s="100"/>
      <c r="B60" s="239" t="s">
        <v>1384</v>
      </c>
      <c r="C60" s="240"/>
      <c r="D60" s="241">
        <f>C60+D58-D59</f>
        <v>0</v>
      </c>
      <c r="E60" s="241">
        <f t="shared" ref="E60" si="24">D60+E58-E59</f>
        <v>0</v>
      </c>
      <c r="F60" s="241">
        <f t="shared" ref="F60" si="25">E60+F58-F59</f>
        <v>0</v>
      </c>
      <c r="G60" s="241">
        <f t="shared" ref="G60" si="26">F60+G58-G59</f>
        <v>0</v>
      </c>
      <c r="H60" s="241">
        <f t="shared" ref="H60" si="27">G60+H58-H59</f>
        <v>0</v>
      </c>
      <c r="I60" s="241">
        <f t="shared" ref="I60" si="28">H60+I58-I59</f>
        <v>0</v>
      </c>
      <c r="J60" s="163"/>
      <c r="L60" s="40"/>
    </row>
    <row r="61" spans="1:12" ht="15.75" hidden="1">
      <c r="A61" s="100"/>
      <c r="B61" s="231"/>
      <c r="C61" s="237"/>
      <c r="D61" s="237"/>
      <c r="E61" s="237"/>
      <c r="F61" s="237"/>
      <c r="G61" s="237"/>
      <c r="H61" s="237"/>
      <c r="I61" s="237"/>
    </row>
    <row r="62" spans="1:12" ht="15.75" hidden="1">
      <c r="A62" s="100"/>
      <c r="B62" s="50"/>
      <c r="C62" s="888" t="s">
        <v>1128</v>
      </c>
      <c r="D62" s="888"/>
      <c r="E62" s="888"/>
      <c r="F62" s="889" t="s">
        <v>1129</v>
      </c>
      <c r="G62" s="889"/>
      <c r="H62" s="889"/>
      <c r="I62" s="889"/>
      <c r="J62" s="163"/>
    </row>
    <row r="63" spans="1:12" hidden="1">
      <c r="A63" s="100">
        <v>7</v>
      </c>
      <c r="B63" s="238" t="str">
        <f>IF(COUNTIF(Table_ACCs[Country_Name],Signatories!$C$5)&gt;=A63,INDEX(Table_ACCs[ACC_Long_Name],MATCH(Signatories!$C$5,Table_ACCs[Country_Name],0)+A63-1),"")</f>
        <v/>
      </c>
      <c r="C63" s="198">
        <v>2018</v>
      </c>
      <c r="D63" s="198">
        <v>2019</v>
      </c>
      <c r="E63" s="198">
        <v>2020</v>
      </c>
      <c r="F63" s="198">
        <v>2021</v>
      </c>
      <c r="G63" s="198">
        <v>2022</v>
      </c>
      <c r="H63" s="198">
        <v>2023</v>
      </c>
      <c r="I63" s="198">
        <v>2024</v>
      </c>
      <c r="J63" s="163"/>
    </row>
    <row r="64" spans="1:12" ht="30" hidden="1">
      <c r="A64" s="100"/>
      <c r="B64" s="239" t="s">
        <v>1130</v>
      </c>
      <c r="C64" s="240"/>
      <c r="D64" s="240"/>
      <c r="E64" s="240"/>
      <c r="F64" s="240"/>
      <c r="G64" s="240"/>
      <c r="H64" s="240"/>
      <c r="I64" s="240"/>
      <c r="J64" s="163"/>
    </row>
    <row r="65" spans="1:12" ht="30" hidden="1">
      <c r="A65" s="100"/>
      <c r="B65" s="239" t="s">
        <v>1387</v>
      </c>
      <c r="C65" s="240"/>
      <c r="D65" s="240"/>
      <c r="E65" s="240"/>
      <c r="F65" s="240"/>
      <c r="G65" s="240"/>
      <c r="H65" s="240"/>
      <c r="I65" s="240"/>
      <c r="J65" s="163"/>
    </row>
    <row r="66" spans="1:12" ht="30" hidden="1">
      <c r="A66" s="100"/>
      <c r="B66" s="239" t="s">
        <v>1131</v>
      </c>
      <c r="C66" s="240"/>
      <c r="D66" s="241">
        <f>C66+D64-D65</f>
        <v>0</v>
      </c>
      <c r="E66" s="241">
        <f t="shared" ref="E66" si="29">D66+E64-E65</f>
        <v>0</v>
      </c>
      <c r="F66" s="241">
        <f t="shared" ref="F66" si="30">E66+F64-F65</f>
        <v>0</v>
      </c>
      <c r="G66" s="241">
        <f t="shared" ref="G66" si="31">F66+G64-G65</f>
        <v>0</v>
      </c>
      <c r="H66" s="241">
        <f t="shared" ref="H66" si="32">G66+H64-H65</f>
        <v>0</v>
      </c>
      <c r="I66" s="241">
        <f t="shared" ref="I66" si="33">H66+I64-I65</f>
        <v>0</v>
      </c>
      <c r="J66" s="163"/>
      <c r="L66" s="40"/>
    </row>
    <row r="67" spans="1:12" ht="15.75" hidden="1">
      <c r="A67" s="100"/>
      <c r="B67" s="231"/>
      <c r="C67" s="237"/>
      <c r="D67" s="237"/>
      <c r="E67" s="237"/>
      <c r="F67" s="237"/>
      <c r="G67" s="237"/>
      <c r="H67" s="237"/>
      <c r="I67" s="237"/>
    </row>
    <row r="68" spans="1:12" ht="15.75" hidden="1">
      <c r="A68" s="100"/>
      <c r="B68" s="50"/>
      <c r="C68" s="888" t="s">
        <v>1128</v>
      </c>
      <c r="D68" s="888"/>
      <c r="E68" s="888"/>
      <c r="F68" s="889" t="s">
        <v>1129</v>
      </c>
      <c r="G68" s="889"/>
      <c r="H68" s="889"/>
      <c r="I68" s="889"/>
      <c r="J68" s="163"/>
    </row>
    <row r="69" spans="1:12" hidden="1">
      <c r="A69" s="100">
        <v>8</v>
      </c>
      <c r="B69" s="238" t="str">
        <f>IF(COUNTIF(Table_ACCs[Country_Name],Signatories!$C$5)&gt;=A69,INDEX(Table_ACCs[ACC_Long_Name],MATCH(Signatories!$C$5,Table_ACCs[Country_Name],0)+A69-1),"")</f>
        <v/>
      </c>
      <c r="C69" s="198">
        <v>2018</v>
      </c>
      <c r="D69" s="198">
        <v>2019</v>
      </c>
      <c r="E69" s="198">
        <v>2020</v>
      </c>
      <c r="F69" s="198">
        <v>2021</v>
      </c>
      <c r="G69" s="198">
        <v>2022</v>
      </c>
      <c r="H69" s="198">
        <v>2023</v>
      </c>
      <c r="I69" s="198">
        <v>2024</v>
      </c>
      <c r="J69" s="163"/>
    </row>
    <row r="70" spans="1:12" ht="30" hidden="1">
      <c r="A70" s="100"/>
      <c r="B70" s="239" t="s">
        <v>1130</v>
      </c>
      <c r="C70" s="240"/>
      <c r="D70" s="240"/>
      <c r="E70" s="240"/>
      <c r="F70" s="240"/>
      <c r="G70" s="240"/>
      <c r="H70" s="240"/>
      <c r="I70" s="240"/>
      <c r="J70" s="163"/>
    </row>
    <row r="71" spans="1:12" ht="30" hidden="1">
      <c r="A71" s="100"/>
      <c r="B71" s="239" t="s">
        <v>1387</v>
      </c>
      <c r="C71" s="240"/>
      <c r="D71" s="240"/>
      <c r="E71" s="240"/>
      <c r="F71" s="240"/>
      <c r="G71" s="240"/>
      <c r="H71" s="240"/>
      <c r="I71" s="240"/>
      <c r="J71" s="163"/>
    </row>
    <row r="72" spans="1:12" ht="30" hidden="1">
      <c r="A72" s="100"/>
      <c r="B72" s="239" t="s">
        <v>1384</v>
      </c>
      <c r="C72" s="240"/>
      <c r="D72" s="241">
        <f>C72+D70-D71</f>
        <v>0</v>
      </c>
      <c r="E72" s="241">
        <f t="shared" ref="E72" si="34">D72+E70-E71</f>
        <v>0</v>
      </c>
      <c r="F72" s="241">
        <f t="shared" ref="F72" si="35">E72+F70-F71</f>
        <v>0</v>
      </c>
      <c r="G72" s="241">
        <f t="shared" ref="G72" si="36">F72+G70-G71</f>
        <v>0</v>
      </c>
      <c r="H72" s="241">
        <f t="shared" ref="H72" si="37">G72+H70-H71</f>
        <v>0</v>
      </c>
      <c r="I72" s="241">
        <f t="shared" ref="I72" si="38">H72+I70-I71</f>
        <v>0</v>
      </c>
      <c r="J72" s="163"/>
      <c r="L72" s="40"/>
    </row>
    <row r="73" spans="1:12" ht="15.75" hidden="1">
      <c r="A73" s="100"/>
      <c r="B73" s="231"/>
      <c r="C73" s="237"/>
      <c r="D73" s="237"/>
      <c r="E73" s="237"/>
      <c r="F73" s="237"/>
      <c r="G73" s="237"/>
      <c r="H73" s="237"/>
      <c r="I73" s="237"/>
    </row>
    <row r="74" spans="1:12" ht="15.75" hidden="1">
      <c r="A74" s="100"/>
      <c r="B74" s="50"/>
      <c r="C74" s="888" t="s">
        <v>1128</v>
      </c>
      <c r="D74" s="888"/>
      <c r="E74" s="888"/>
      <c r="F74" s="889" t="s">
        <v>1129</v>
      </c>
      <c r="G74" s="889"/>
      <c r="H74" s="889"/>
      <c r="I74" s="889"/>
      <c r="J74" s="163"/>
    </row>
    <row r="75" spans="1:12" hidden="1">
      <c r="A75" s="100">
        <v>9</v>
      </c>
      <c r="B75" s="238" t="str">
        <f>IF(COUNTIF(Table_ACCs[Country_Name],Signatories!$C$5)&gt;=A75,INDEX(Table_ACCs[ACC_Long_Name],MATCH(Signatories!$C$5,Table_ACCs[Country_Name],0)+A75-1),"")</f>
        <v/>
      </c>
      <c r="C75" s="198">
        <v>2018</v>
      </c>
      <c r="D75" s="198">
        <v>2019</v>
      </c>
      <c r="E75" s="198">
        <v>2020</v>
      </c>
      <c r="F75" s="198">
        <v>2021</v>
      </c>
      <c r="G75" s="198">
        <v>2022</v>
      </c>
      <c r="H75" s="198">
        <v>2023</v>
      </c>
      <c r="I75" s="198">
        <v>2024</v>
      </c>
      <c r="J75" s="163"/>
    </row>
    <row r="76" spans="1:12" ht="30" hidden="1">
      <c r="A76" s="100"/>
      <c r="B76" s="239" t="s">
        <v>1130</v>
      </c>
      <c r="C76" s="240"/>
      <c r="D76" s="240"/>
      <c r="E76" s="240"/>
      <c r="F76" s="240"/>
      <c r="G76" s="240"/>
      <c r="H76" s="240"/>
      <c r="I76" s="240"/>
      <c r="J76" s="163"/>
    </row>
    <row r="77" spans="1:12" ht="30" hidden="1">
      <c r="A77" s="100"/>
      <c r="B77" s="239" t="s">
        <v>1387</v>
      </c>
      <c r="C77" s="240"/>
      <c r="D77" s="240"/>
      <c r="E77" s="240"/>
      <c r="F77" s="240"/>
      <c r="G77" s="240"/>
      <c r="H77" s="240"/>
      <c r="I77" s="240"/>
      <c r="J77" s="163"/>
    </row>
    <row r="78" spans="1:12" ht="30" hidden="1">
      <c r="A78" s="100"/>
      <c r="B78" s="239" t="s">
        <v>1384</v>
      </c>
      <c r="C78" s="240"/>
      <c r="D78" s="241">
        <f>C78+D76-D77</f>
        <v>0</v>
      </c>
      <c r="E78" s="241">
        <f t="shared" ref="E78" si="39">D78+E76-E77</f>
        <v>0</v>
      </c>
      <c r="F78" s="241">
        <f t="shared" ref="F78" si="40">E78+F76-F77</f>
        <v>0</v>
      </c>
      <c r="G78" s="241">
        <f t="shared" ref="G78" si="41">F78+G76-G77</f>
        <v>0</v>
      </c>
      <c r="H78" s="241">
        <f t="shared" ref="H78" si="42">G78+H76-H77</f>
        <v>0</v>
      </c>
      <c r="I78" s="241">
        <f t="shared" ref="I78" si="43">H78+I76-I77</f>
        <v>0</v>
      </c>
      <c r="J78" s="163"/>
      <c r="L78" s="40"/>
    </row>
    <row r="79" spans="1:12" ht="15.75" hidden="1">
      <c r="A79" s="100"/>
      <c r="B79" s="231"/>
      <c r="C79" s="237"/>
      <c r="D79" s="237"/>
      <c r="E79" s="237"/>
      <c r="F79" s="237"/>
      <c r="G79" s="237"/>
      <c r="H79" s="237"/>
      <c r="I79" s="237"/>
    </row>
    <row r="80" spans="1:12" ht="15.75" hidden="1">
      <c r="A80" s="100"/>
      <c r="B80" s="50"/>
      <c r="C80" s="888" t="s">
        <v>1128</v>
      </c>
      <c r="D80" s="888"/>
      <c r="E80" s="888"/>
      <c r="F80" s="889" t="s">
        <v>1129</v>
      </c>
      <c r="G80" s="889"/>
      <c r="H80" s="889"/>
      <c r="I80" s="889"/>
      <c r="J80" s="163"/>
    </row>
    <row r="81" spans="1:13" hidden="1">
      <c r="A81" s="100">
        <v>10</v>
      </c>
      <c r="B81" s="238" t="str">
        <f>IF(COUNTIF(Table_ACCs[Country_Name],Signatories!$C$5)&gt;=A81,INDEX(Table_ACCs[ACC_Long_Name],MATCH(Signatories!$C$5,Table_ACCs[Country_Name],0)+A81-1),"")</f>
        <v/>
      </c>
      <c r="C81" s="198">
        <v>2018</v>
      </c>
      <c r="D81" s="198">
        <v>2019</v>
      </c>
      <c r="E81" s="198">
        <v>2020</v>
      </c>
      <c r="F81" s="198">
        <v>2021</v>
      </c>
      <c r="G81" s="198">
        <v>2022</v>
      </c>
      <c r="H81" s="198">
        <v>2023</v>
      </c>
      <c r="I81" s="198">
        <v>2024</v>
      </c>
      <c r="J81" s="163"/>
    </row>
    <row r="82" spans="1:13" ht="30" hidden="1">
      <c r="B82" s="239" t="s">
        <v>1130</v>
      </c>
      <c r="C82" s="240"/>
      <c r="D82" s="240"/>
      <c r="E82" s="240"/>
      <c r="F82" s="240"/>
      <c r="G82" s="240"/>
      <c r="H82" s="240"/>
      <c r="I82" s="240"/>
      <c r="J82" s="163"/>
    </row>
    <row r="83" spans="1:13" ht="30" hidden="1">
      <c r="B83" s="239" t="s">
        <v>1387</v>
      </c>
      <c r="C83" s="240"/>
      <c r="D83" s="240"/>
      <c r="E83" s="240"/>
      <c r="F83" s="240"/>
      <c r="G83" s="240"/>
      <c r="H83" s="240"/>
      <c r="I83" s="240"/>
      <c r="J83" s="163"/>
    </row>
    <row r="84" spans="1:13" ht="30" hidden="1">
      <c r="B84" s="239" t="s">
        <v>1384</v>
      </c>
      <c r="C84" s="240"/>
      <c r="D84" s="241">
        <f>C84+D82-D83</f>
        <v>0</v>
      </c>
      <c r="E84" s="241">
        <f t="shared" ref="E84" si="44">D84+E82-E83</f>
        <v>0</v>
      </c>
      <c r="F84" s="241">
        <f t="shared" ref="F84" si="45">E84+F82-F83</f>
        <v>0</v>
      </c>
      <c r="G84" s="241">
        <f t="shared" ref="G84" si="46">F84+G82-G83</f>
        <v>0</v>
      </c>
      <c r="H84" s="241">
        <f t="shared" ref="H84" si="47">G84+H82-H83</f>
        <v>0</v>
      </c>
      <c r="I84" s="241">
        <f t="shared" ref="I84" si="48">H84+I82-I83</f>
        <v>0</v>
      </c>
      <c r="J84" s="163"/>
      <c r="L84" s="40"/>
    </row>
    <row r="85" spans="1:13" hidden="1">
      <c r="B85" s="134"/>
      <c r="C85" s="134"/>
      <c r="D85" s="134"/>
      <c r="E85" s="134"/>
      <c r="F85" s="134"/>
      <c r="G85" s="134"/>
      <c r="H85" s="134"/>
      <c r="I85" s="134"/>
    </row>
    <row r="86" spans="1:13">
      <c r="B86" s="673" t="s">
        <v>23</v>
      </c>
      <c r="C86" s="893"/>
      <c r="D86" s="893"/>
      <c r="E86" s="893"/>
      <c r="F86" s="893"/>
      <c r="G86" s="893"/>
      <c r="H86" s="893"/>
      <c r="I86" s="893"/>
      <c r="J86" s="163"/>
    </row>
    <row r="87" spans="1:13" ht="339" customHeight="1">
      <c r="B87" s="890" t="s">
        <v>1916</v>
      </c>
      <c r="C87" s="647"/>
      <c r="D87" s="647"/>
      <c r="E87" s="647"/>
      <c r="F87" s="647"/>
      <c r="G87" s="647"/>
      <c r="H87" s="647"/>
      <c r="I87" s="647"/>
      <c r="J87" s="163"/>
      <c r="M87" s="498"/>
    </row>
  </sheetData>
  <sheetProtection formatCells="0" formatColumns="0" formatRows="0" insertHyperlinks="0"/>
  <mergeCells count="24">
    <mergeCell ref="B17:I17"/>
    <mergeCell ref="B22:I22"/>
    <mergeCell ref="B86:I86"/>
    <mergeCell ref="B87:I87"/>
    <mergeCell ref="C26:E26"/>
    <mergeCell ref="F26:I26"/>
    <mergeCell ref="C32:E32"/>
    <mergeCell ref="F32:I32"/>
    <mergeCell ref="C38:E38"/>
    <mergeCell ref="F38:I38"/>
    <mergeCell ref="C44:E44"/>
    <mergeCell ref="F44:I44"/>
    <mergeCell ref="C50:E50"/>
    <mergeCell ref="F50:I50"/>
    <mergeCell ref="C56:E56"/>
    <mergeCell ref="F56:I56"/>
    <mergeCell ref="C80:E80"/>
    <mergeCell ref="F80:I80"/>
    <mergeCell ref="C62:E62"/>
    <mergeCell ref="F62:I62"/>
    <mergeCell ref="C68:E68"/>
    <mergeCell ref="F68:I68"/>
    <mergeCell ref="C74:E74"/>
    <mergeCell ref="F74:I74"/>
  </mergeCells>
  <conditionalFormatting sqref="E9:I9 B27 B33 D36:I36 B39 D42:I42 B45 D48:I48 B51 D54:I54 B57 D60:I60 B63 D66:I66 B69 D72:I72 B75 D78:I78 B81 D84:I84 D30:I30 E13:F13">
    <cfRule type="expression" dxfId="808" priority="4">
      <formula>$A$2="PRINT"</formula>
    </cfRule>
  </conditionalFormatting>
  <conditionalFormatting sqref="D9">
    <cfRule type="expression" dxfId="807" priority="2">
      <formula>$A$2="PRINT"</formula>
    </cfRule>
  </conditionalFormatting>
  <pageMargins left="0.70866141732283472" right="0.70866141732283472" top="0.74803149606299213" bottom="0.74803149606299213" header="0.31496062992125984" footer="0.31496062992125984"/>
  <pageSetup paperSize="9" scale="71" fitToHeight="0" orientation="portrait" r:id="rId1"/>
  <headerFooter>
    <oddFooter>&amp;C&amp;P</oddFooter>
  </headerFooter>
  <ignoredErrors>
    <ignoredError sqref="D30:E30" unlockedFormula="1"/>
  </ignoredErrors>
  <drawing r:id="rId2"/>
  <pictur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9">
    <tabColor theme="2" tint="-0.249977111117893"/>
    <pageSetUpPr fitToPage="1"/>
  </sheetPr>
  <dimension ref="A1:Q1705"/>
  <sheetViews>
    <sheetView showGridLines="0" topLeftCell="A211" zoomScaleNormal="100" workbookViewId="0">
      <selection activeCell="D224" sqref="D224"/>
    </sheetView>
  </sheetViews>
  <sheetFormatPr defaultColWidth="9.140625" defaultRowHeight="15"/>
  <cols>
    <col min="1" max="1" width="9.140625" style="5"/>
    <col min="2" max="2" width="25.7109375" style="3" customWidth="1"/>
    <col min="3" max="3" width="18.28515625" style="3" customWidth="1"/>
    <col min="4" max="4" width="19.85546875" style="3" customWidth="1"/>
    <col min="5" max="10" width="11.85546875" style="3" customWidth="1"/>
    <col min="11" max="11" width="1.7109375" style="3" customWidth="1"/>
    <col min="12" max="16" width="9.140625" style="3"/>
    <col min="17" max="17" width="10.42578125" style="5" hidden="1" customWidth="1"/>
    <col min="18" max="16384" width="9.140625" style="3"/>
  </cols>
  <sheetData>
    <row r="1" spans="1:17">
      <c r="A1" s="22"/>
      <c r="B1" s="8"/>
      <c r="C1" s="18"/>
      <c r="D1" s="18"/>
      <c r="E1" s="19"/>
      <c r="F1" s="19"/>
      <c r="G1" s="19"/>
      <c r="H1" s="19"/>
      <c r="I1" s="19"/>
      <c r="J1" s="19"/>
    </row>
    <row r="2" spans="1:17" s="24" customFormat="1" ht="18.75" customHeight="1" thickBot="1">
      <c r="A2" s="23"/>
      <c r="B2" s="32" t="s">
        <v>1056</v>
      </c>
      <c r="C2" s="32"/>
      <c r="D2" s="32"/>
      <c r="E2" s="32"/>
      <c r="F2" s="32"/>
      <c r="G2" s="32"/>
      <c r="H2" s="32"/>
      <c r="I2" s="32"/>
      <c r="J2" s="32"/>
      <c r="Q2" s="25"/>
    </row>
    <row r="3" spans="1:17">
      <c r="A3" s="22"/>
      <c r="B3" s="242"/>
      <c r="C3" s="242"/>
      <c r="D3" s="243"/>
      <c r="E3" s="227"/>
      <c r="F3" s="227"/>
      <c r="G3" s="227"/>
      <c r="H3" s="227"/>
      <c r="I3" s="227"/>
      <c r="J3" s="227"/>
    </row>
    <row r="4" spans="1:17" s="4" customFormat="1" ht="15.75" customHeight="1">
      <c r="B4" s="50" t="s">
        <v>697</v>
      </c>
      <c r="C4" s="51"/>
      <c r="D4" s="49"/>
      <c r="E4" s="49"/>
      <c r="F4" s="49"/>
      <c r="G4" s="49"/>
      <c r="H4" s="49"/>
      <c r="I4" s="49"/>
    </row>
    <row r="5" spans="1:17" ht="15.75">
      <c r="A5" s="3"/>
      <c r="B5" s="20"/>
      <c r="C5" s="21"/>
      <c r="D5" s="21"/>
      <c r="E5" s="21"/>
      <c r="F5" s="21"/>
      <c r="G5" s="21"/>
      <c r="H5" s="21"/>
      <c r="I5" s="51"/>
      <c r="Q5" s="3"/>
    </row>
    <row r="6" spans="1:17">
      <c r="A6" s="22"/>
      <c r="B6" s="22"/>
      <c r="E6" s="409" t="s">
        <v>1535</v>
      </c>
      <c r="F6" s="198">
        <v>2020</v>
      </c>
      <c r="G6" s="198">
        <v>2021</v>
      </c>
      <c r="H6" s="198">
        <v>2022</v>
      </c>
      <c r="I6" s="198">
        <v>2023</v>
      </c>
      <c r="J6" s="198">
        <v>2024</v>
      </c>
      <c r="K6" s="163"/>
    </row>
    <row r="7" spans="1:17">
      <c r="A7" s="22"/>
      <c r="E7" s="409" t="s">
        <v>1128</v>
      </c>
      <c r="F7" s="198" t="s">
        <v>30</v>
      </c>
      <c r="G7" s="198" t="s">
        <v>30</v>
      </c>
      <c r="H7" s="198" t="s">
        <v>30</v>
      </c>
      <c r="I7" s="198" t="s">
        <v>30</v>
      </c>
      <c r="J7" s="198" t="s">
        <v>30</v>
      </c>
      <c r="K7" s="163"/>
      <c r="L7" s="38"/>
    </row>
    <row r="8" spans="1:17">
      <c r="A8" s="22"/>
      <c r="B8" s="911" t="s">
        <v>931</v>
      </c>
      <c r="C8" s="911"/>
      <c r="D8" s="911"/>
      <c r="E8" s="410" t="str">
        <f>IFERROR(IF(INDEX(Table_TRM_Delay_State[2020A],MATCH(Signatories!$C$5,Table_TRM_Delay_State[[COUNTRY_FAB_Name]:[COUNTRY_FAB_Name]],0))="","-",INDEX(Table_TRM_Delay_State[2020A],MATCH(Signatories!$C$5,Table_TRM_Delay_State[[COUNTRY_FAB_Name]:[COUNTRY_FAB_Name]],0))),"-")</f>
        <v>N/A</v>
      </c>
      <c r="F8" s="475" t="str">
        <f>IFERROR(IF(INDEX(Table_TRM_Delay_State[2020T],MATCH(Signatories!$C$5,Table_TRM_Delay_State[[COUNTRY_FAB_Name]:[COUNTRY_FAB_Name]],0))="","-",INDEX(Table_TRM_Delay_State[2020T],MATCH(Signatories!$C$5,Table_TRM_Delay_State[[COUNTRY_FAB_Name]:[COUNTRY_FAB_Name]],0))),"-")</f>
        <v>N/A</v>
      </c>
      <c r="G8" s="411"/>
      <c r="H8" s="411"/>
      <c r="I8" s="411"/>
      <c r="J8" s="411"/>
      <c r="K8" s="163"/>
    </row>
    <row r="9" spans="1:17" ht="30" customHeight="1">
      <c r="A9" s="22"/>
      <c r="B9" s="912" t="s">
        <v>23</v>
      </c>
      <c r="C9" s="912"/>
      <c r="D9" s="912"/>
      <c r="E9" s="901"/>
      <c r="F9" s="901"/>
      <c r="G9" s="901"/>
      <c r="H9" s="901"/>
      <c r="I9" s="901"/>
      <c r="J9" s="901"/>
      <c r="K9" s="163"/>
    </row>
    <row r="10" spans="1:17" ht="15.75" thickBot="1">
      <c r="A10" s="22"/>
      <c r="B10" s="230"/>
      <c r="C10" s="230"/>
      <c r="D10" s="230"/>
      <c r="E10" s="230"/>
      <c r="F10" s="230"/>
      <c r="G10" s="230"/>
      <c r="H10" s="230"/>
      <c r="I10" s="230"/>
      <c r="J10" s="230"/>
    </row>
    <row r="11" spans="1:17" ht="15" hidden="1" customHeight="1">
      <c r="A11" s="244">
        <v>1</v>
      </c>
      <c r="B11" s="908" t="s">
        <v>38</v>
      </c>
      <c r="C11" s="899" t="str">
        <f ca="1">IF('Dynamic lists'!$C5=0,"",'Dynamic lists'!$C5)</f>
        <v/>
      </c>
      <c r="D11" s="900"/>
      <c r="E11" s="412" t="str">
        <f ca="1">IFERROR(IF(INDEX(Table_TCZs_RP2[2020_ACTUAL_PERF],MATCH(LEFT(C11,4),Table_TCZs_RP2[[APT_CODE]:[APT_CODE]],0))="","-",INDEX(Table_TCZs_RP2[2020_ACTUAL_PERF],MATCH(LEFT(C11,4),Table_TCZs_RP2[[APT_CODE]:[APT_CODE]],0))),"-")</f>
        <v>-</v>
      </c>
      <c r="F11" s="476" t="str">
        <f ca="1">IFERROR(IF(INDEX(Table_TCZs_RP2[2020_TARGET_APT],MATCH(LEFT(C11,4),Table_TCZs_RP2[[APT_CODE]:[APT_CODE]],0))="","-",INDEX(Table_TCZs_RP2[2020_TARGET_APT],MATCH(LEFT(C11,4),Table_TCZs_RP2[[APT_CODE]:[APT_CODE]],0))),"-")</f>
        <v>-</v>
      </c>
      <c r="G11" s="477"/>
      <c r="H11" s="246"/>
      <c r="I11" s="246"/>
      <c r="J11" s="246"/>
      <c r="K11" s="245"/>
      <c r="Q11" s="5">
        <v>1</v>
      </c>
    </row>
    <row r="12" spans="1:17" ht="15.75" hidden="1" customHeight="1" thickBot="1">
      <c r="A12" s="244"/>
      <c r="B12" s="909"/>
      <c r="C12" s="902" t="s">
        <v>39</v>
      </c>
      <c r="D12" s="654"/>
      <c r="E12" s="896"/>
      <c r="F12" s="897"/>
      <c r="G12" s="897"/>
      <c r="H12" s="897"/>
      <c r="I12" s="897"/>
      <c r="J12" s="898"/>
      <c r="K12" s="245"/>
      <c r="Q12" s="5">
        <v>2</v>
      </c>
    </row>
    <row r="13" spans="1:17" ht="15" hidden="1" customHeight="1">
      <c r="A13" s="244"/>
      <c r="B13" s="909"/>
      <c r="C13" s="899" t="str">
        <f ca="1">IF('Dynamic lists'!$C6=0,"",'Dynamic lists'!$C6)</f>
        <v/>
      </c>
      <c r="D13" s="900"/>
      <c r="E13" s="412" t="str">
        <f ca="1">IFERROR(IF(INDEX(Table_TCZs_RP2[2020_ACTUAL_PERF],MATCH(LEFT(C13,4),Table_TCZs_RP2[[APT_CODE]:[APT_CODE]],0))="","-",INDEX(Table_TCZs_RP2[2020_ACTUAL_PERF],MATCH(LEFT(C13,4),Table_TCZs_RP2[[APT_CODE]:[APT_CODE]],0))),"-")</f>
        <v>-</v>
      </c>
      <c r="F13" s="475" t="str">
        <f ca="1">IFERROR(IF(INDEX(Table_TCZs_RP2[2020_TARGET_APT],MATCH(LEFT(C13,4),Table_TCZs_RP2[[APT_CODE]:[APT_CODE]],0))="","-",INDEX(Table_TCZs_RP2[2020_TARGET_APT],MATCH(LEFT(C13,4),Table_TCZs_RP2[[APT_CODE]:[APT_CODE]],0))),"-")</f>
        <v>-</v>
      </c>
      <c r="G13" s="246"/>
      <c r="H13" s="246"/>
      <c r="I13" s="246"/>
      <c r="J13" s="246"/>
      <c r="K13" s="245"/>
      <c r="Q13" s="5">
        <v>3</v>
      </c>
    </row>
    <row r="14" spans="1:17" ht="15.75" hidden="1" customHeight="1" thickBot="1">
      <c r="A14" s="244"/>
      <c r="B14" s="909"/>
      <c r="C14" s="902" t="s">
        <v>39</v>
      </c>
      <c r="D14" s="654"/>
      <c r="E14" s="896"/>
      <c r="F14" s="897"/>
      <c r="G14" s="897"/>
      <c r="H14" s="897"/>
      <c r="I14" s="897"/>
      <c r="J14" s="898"/>
      <c r="K14" s="245"/>
      <c r="Q14" s="5">
        <v>4</v>
      </c>
    </row>
    <row r="15" spans="1:17" ht="15" hidden="1" customHeight="1">
      <c r="A15" s="244"/>
      <c r="B15" s="909"/>
      <c r="C15" s="899" t="str">
        <f ca="1">IF('Dynamic lists'!$C7=0,"",'Dynamic lists'!$C7)</f>
        <v/>
      </c>
      <c r="D15" s="900"/>
      <c r="E15" s="412" t="str">
        <f ca="1">IFERROR(IF(INDEX(Table_TCZs_RP2[2020_ACTUAL_PERF],MATCH(LEFT(C15,4),Table_TCZs_RP2[[APT_CODE]:[APT_CODE]],0))="","-",INDEX(Table_TCZs_RP2[2020_ACTUAL_PERF],MATCH(LEFT(C15,4),Table_TCZs_RP2[[APT_CODE]:[APT_CODE]],0))),"-")</f>
        <v>-</v>
      </c>
      <c r="F15" s="475" t="str">
        <f ca="1">IFERROR(IF(INDEX(Table_TCZs_RP2[2020_TARGET_APT],MATCH(LEFT(C15,4),Table_TCZs_RP2[[APT_CODE]:[APT_CODE]],0))="","-",INDEX(Table_TCZs_RP2[2020_TARGET_APT],MATCH(LEFT(C15,4),Table_TCZs_RP2[[APT_CODE]:[APT_CODE]],0))),"-")</f>
        <v>-</v>
      </c>
      <c r="G15" s="246"/>
      <c r="H15" s="246"/>
      <c r="I15" s="246"/>
      <c r="J15" s="246"/>
      <c r="K15" s="245"/>
      <c r="Q15" s="5">
        <v>5</v>
      </c>
    </row>
    <row r="16" spans="1:17" ht="15.75" hidden="1" customHeight="1" thickBot="1">
      <c r="A16" s="244"/>
      <c r="B16" s="909"/>
      <c r="C16" s="902" t="s">
        <v>39</v>
      </c>
      <c r="D16" s="654"/>
      <c r="E16" s="896"/>
      <c r="F16" s="897"/>
      <c r="G16" s="897"/>
      <c r="H16" s="897"/>
      <c r="I16" s="897"/>
      <c r="J16" s="898"/>
      <c r="K16" s="245"/>
      <c r="Q16" s="5">
        <v>6</v>
      </c>
    </row>
    <row r="17" spans="1:17" ht="15" hidden="1" customHeight="1">
      <c r="A17" s="244"/>
      <c r="B17" s="909"/>
      <c r="C17" s="899" t="str">
        <f ca="1">IF('Dynamic lists'!$C8=0,"",'Dynamic lists'!$C8)</f>
        <v/>
      </c>
      <c r="D17" s="900"/>
      <c r="E17" s="412" t="str">
        <f ca="1">IFERROR(IF(INDEX(Table_TCZs_RP2[2020_ACTUAL_PERF],MATCH(LEFT(C17,4),Table_TCZs_RP2[[APT_CODE]:[APT_CODE]],0))="","-",INDEX(Table_TCZs_RP2[2020_ACTUAL_PERF],MATCH(LEFT(C17,4),Table_TCZs_RP2[[APT_CODE]:[APT_CODE]],0))),"-")</f>
        <v>-</v>
      </c>
      <c r="F17" s="475" t="str">
        <f ca="1">IFERROR(IF(INDEX(Table_TCZs_RP2[2020_TARGET_APT],MATCH(LEFT(C17,4),Table_TCZs_RP2[[APT_CODE]:[APT_CODE]],0))="","-",INDEX(Table_TCZs_RP2[2020_TARGET_APT],MATCH(LEFT(C17,4),Table_TCZs_RP2[[APT_CODE]:[APT_CODE]],0))),"-")</f>
        <v>-</v>
      </c>
      <c r="G17" s="246"/>
      <c r="H17" s="246"/>
      <c r="I17" s="246"/>
      <c r="J17" s="246"/>
      <c r="K17" s="245"/>
      <c r="Q17" s="5">
        <v>7</v>
      </c>
    </row>
    <row r="18" spans="1:17" ht="15.75" hidden="1" customHeight="1" thickBot="1">
      <c r="A18" s="244"/>
      <c r="B18" s="909"/>
      <c r="C18" s="902" t="s">
        <v>39</v>
      </c>
      <c r="D18" s="654"/>
      <c r="E18" s="896"/>
      <c r="F18" s="897"/>
      <c r="G18" s="897"/>
      <c r="H18" s="897"/>
      <c r="I18" s="897"/>
      <c r="J18" s="898"/>
      <c r="K18" s="245"/>
      <c r="Q18" s="5">
        <v>8</v>
      </c>
    </row>
    <row r="19" spans="1:17" ht="15" hidden="1" customHeight="1">
      <c r="A19" s="244"/>
      <c r="B19" s="909"/>
      <c r="C19" s="899" t="str">
        <f ca="1">IF('Dynamic lists'!$C9=0,"",'Dynamic lists'!$C9)</f>
        <v/>
      </c>
      <c r="D19" s="900"/>
      <c r="E19" s="412" t="str">
        <f ca="1">IFERROR(IF(INDEX(Table_TCZs_RP2[2020_ACTUAL_PERF],MATCH(LEFT(C19,4),Table_TCZs_RP2[[APT_CODE]:[APT_CODE]],0))="","-",INDEX(Table_TCZs_RP2[2020_ACTUAL_PERF],MATCH(LEFT(C19,4),Table_TCZs_RP2[[APT_CODE]:[APT_CODE]],0))),"-")</f>
        <v>-</v>
      </c>
      <c r="F19" s="475" t="str">
        <f ca="1">IFERROR(IF(INDEX(Table_TCZs_RP2[2020_TARGET_APT],MATCH(LEFT(C19,4),Table_TCZs_RP2[[APT_CODE]:[APT_CODE]],0))="","-",INDEX(Table_TCZs_RP2[2020_TARGET_APT],MATCH(LEFT(C19,4),Table_TCZs_RP2[[APT_CODE]:[APT_CODE]],0))),"-")</f>
        <v>-</v>
      </c>
      <c r="G19" s="246"/>
      <c r="H19" s="246"/>
      <c r="I19" s="246"/>
      <c r="J19" s="246"/>
      <c r="K19" s="245"/>
      <c r="Q19" s="5">
        <v>9</v>
      </c>
    </row>
    <row r="20" spans="1:17" ht="15.75" hidden="1" customHeight="1" thickBot="1">
      <c r="A20" s="244"/>
      <c r="B20" s="909"/>
      <c r="C20" s="902" t="s">
        <v>39</v>
      </c>
      <c r="D20" s="654"/>
      <c r="E20" s="896"/>
      <c r="F20" s="897"/>
      <c r="G20" s="897"/>
      <c r="H20" s="897"/>
      <c r="I20" s="897"/>
      <c r="J20" s="898"/>
      <c r="K20" s="245"/>
      <c r="Q20" s="5">
        <v>10</v>
      </c>
    </row>
    <row r="21" spans="1:17" ht="15" hidden="1" customHeight="1">
      <c r="A21" s="244"/>
      <c r="B21" s="909"/>
      <c r="C21" s="899" t="str">
        <f ca="1">IF('Dynamic lists'!$C10=0,"",'Dynamic lists'!$C10)</f>
        <v/>
      </c>
      <c r="D21" s="900"/>
      <c r="E21" s="412" t="str">
        <f ca="1">IFERROR(IF(INDEX(Table_TCZs_RP2[2020_ACTUAL_PERF],MATCH(LEFT(C21,4),Table_TCZs_RP2[[APT_CODE]:[APT_CODE]],0))="","-",INDEX(Table_TCZs_RP2[2020_ACTUAL_PERF],MATCH(LEFT(C21,4),Table_TCZs_RP2[[APT_CODE]:[APT_CODE]],0))),"-")</f>
        <v>-</v>
      </c>
      <c r="F21" s="475" t="str">
        <f ca="1">IFERROR(IF(INDEX(Table_TCZs_RP2[2020_TARGET_APT],MATCH(LEFT(C21,4),Table_TCZs_RP2[[APT_CODE]:[APT_CODE]],0))="","-",INDEX(Table_TCZs_RP2[2020_TARGET_APT],MATCH(LEFT(C21,4),Table_TCZs_RP2[[APT_CODE]:[APT_CODE]],0))),"-")</f>
        <v>-</v>
      </c>
      <c r="G21" s="246"/>
      <c r="H21" s="246"/>
      <c r="I21" s="246"/>
      <c r="J21" s="246"/>
      <c r="K21" s="245"/>
      <c r="Q21" s="5">
        <v>11</v>
      </c>
    </row>
    <row r="22" spans="1:17" ht="15.75" hidden="1" customHeight="1" thickBot="1">
      <c r="A22" s="244"/>
      <c r="B22" s="909"/>
      <c r="C22" s="902" t="s">
        <v>39</v>
      </c>
      <c r="D22" s="654"/>
      <c r="E22" s="896"/>
      <c r="F22" s="897"/>
      <c r="G22" s="897"/>
      <c r="H22" s="897"/>
      <c r="I22" s="897"/>
      <c r="J22" s="898"/>
      <c r="K22" s="245"/>
      <c r="Q22" s="5">
        <v>12</v>
      </c>
    </row>
    <row r="23" spans="1:17" ht="15" hidden="1" customHeight="1">
      <c r="A23" s="244"/>
      <c r="B23" s="909"/>
      <c r="C23" s="899" t="str">
        <f ca="1">IF('Dynamic lists'!$C11=0,"",'Dynamic lists'!$C11)</f>
        <v/>
      </c>
      <c r="D23" s="900"/>
      <c r="E23" s="412" t="str">
        <f ca="1">IFERROR(IF(INDEX(Table_TCZs_RP2[2020_ACTUAL_PERF],MATCH(LEFT(C23,4),Table_TCZs_RP2[[APT_CODE]:[APT_CODE]],0))="","-",INDEX(Table_TCZs_RP2[2020_ACTUAL_PERF],MATCH(LEFT(C23,4),Table_TCZs_RP2[[APT_CODE]:[APT_CODE]],0))),"-")</f>
        <v>-</v>
      </c>
      <c r="F23" s="475" t="str">
        <f ca="1">IFERROR(IF(INDEX(Table_TCZs_RP2[2020_TARGET_APT],MATCH(LEFT(C23,4),Table_TCZs_RP2[[APT_CODE]:[APT_CODE]],0))="","-",INDEX(Table_TCZs_RP2[2020_TARGET_APT],MATCH(LEFT(C23,4),Table_TCZs_RP2[[APT_CODE]:[APT_CODE]],0))),"-")</f>
        <v>-</v>
      </c>
      <c r="G23" s="246"/>
      <c r="H23" s="246"/>
      <c r="I23" s="246"/>
      <c r="J23" s="246"/>
      <c r="K23" s="245"/>
      <c r="Q23" s="5">
        <v>13</v>
      </c>
    </row>
    <row r="24" spans="1:17" ht="15.75" hidden="1" customHeight="1" thickBot="1">
      <c r="A24" s="244"/>
      <c r="B24" s="909"/>
      <c r="C24" s="902" t="s">
        <v>39</v>
      </c>
      <c r="D24" s="654"/>
      <c r="E24" s="896"/>
      <c r="F24" s="897"/>
      <c r="G24" s="897"/>
      <c r="H24" s="897"/>
      <c r="I24" s="897"/>
      <c r="J24" s="898"/>
      <c r="K24" s="245"/>
      <c r="Q24" s="5">
        <v>14</v>
      </c>
    </row>
    <row r="25" spans="1:17" hidden="1">
      <c r="A25" s="244"/>
      <c r="B25" s="909"/>
      <c r="C25" s="899" t="str">
        <f ca="1">IF('Dynamic lists'!$C12=0,"",'Dynamic lists'!$C12)</f>
        <v/>
      </c>
      <c r="D25" s="900"/>
      <c r="E25" s="412" t="str">
        <f ca="1">IFERROR(IF(INDEX(Table_TCZs_RP2[2020_ACTUAL_PERF],MATCH(LEFT(C25,4),Table_TCZs_RP2[[APT_CODE]:[APT_CODE]],0))="","-",INDEX(Table_TCZs_RP2[2020_ACTUAL_PERF],MATCH(LEFT(C25,4),Table_TCZs_RP2[[APT_CODE]:[APT_CODE]],0))),"-")</f>
        <v>-</v>
      </c>
      <c r="F25" s="475" t="str">
        <f ca="1">IFERROR(IF(INDEX(Table_TCZs_RP2[2020_TARGET_APT],MATCH(LEFT(C25,4),Table_TCZs_RP2[[APT_CODE]:[APT_CODE]],0))="","-",INDEX(Table_TCZs_RP2[2020_TARGET_APT],MATCH(LEFT(C25,4),Table_TCZs_RP2[[APT_CODE]:[APT_CODE]],0))),"-")</f>
        <v>-</v>
      </c>
      <c r="G25" s="246"/>
      <c r="H25" s="246"/>
      <c r="I25" s="246"/>
      <c r="J25" s="246"/>
      <c r="K25" s="245"/>
      <c r="Q25" s="5">
        <v>15</v>
      </c>
    </row>
    <row r="26" spans="1:17" ht="15.75" hidden="1" customHeight="1" thickBot="1">
      <c r="A26" s="244"/>
      <c r="B26" s="909"/>
      <c r="C26" s="902" t="s">
        <v>39</v>
      </c>
      <c r="D26" s="654"/>
      <c r="E26" s="896"/>
      <c r="F26" s="897"/>
      <c r="G26" s="897"/>
      <c r="H26" s="897"/>
      <c r="I26" s="897"/>
      <c r="J26" s="898"/>
      <c r="K26" s="245"/>
      <c r="Q26" s="5">
        <v>16</v>
      </c>
    </row>
    <row r="27" spans="1:17" ht="15" hidden="1" customHeight="1">
      <c r="A27" s="244"/>
      <c r="B27" s="909"/>
      <c r="C27" s="899" t="str">
        <f ca="1">IF('Dynamic lists'!$C13=0,"",'Dynamic lists'!$C13)</f>
        <v/>
      </c>
      <c r="D27" s="900"/>
      <c r="E27" s="412" t="str">
        <f ca="1">IFERROR(IF(INDEX(Table_TCZs_RP2[2020_ACTUAL_PERF],MATCH(LEFT(C27,4),Table_TCZs_RP2[[APT_CODE]:[APT_CODE]],0))="","-",INDEX(Table_TCZs_RP2[2020_ACTUAL_PERF],MATCH(LEFT(C27,4),Table_TCZs_RP2[[APT_CODE]:[APT_CODE]],0))),"-")</f>
        <v>-</v>
      </c>
      <c r="F27" s="475" t="str">
        <f ca="1">IFERROR(IF(INDEX(Table_TCZs_RP2[2020_TARGET_APT],MATCH(LEFT(C27,4),Table_TCZs_RP2[[APT_CODE]:[APT_CODE]],0))="","-",INDEX(Table_TCZs_RP2[2020_TARGET_APT],MATCH(LEFT(C27,4),Table_TCZs_RP2[[APT_CODE]:[APT_CODE]],0))),"-")</f>
        <v>-</v>
      </c>
      <c r="G27" s="246"/>
      <c r="H27" s="246"/>
      <c r="I27" s="246"/>
      <c r="J27" s="246"/>
      <c r="K27" s="245"/>
      <c r="Q27" s="5">
        <v>17</v>
      </c>
    </row>
    <row r="28" spans="1:17" ht="15.75" hidden="1" customHeight="1" thickBot="1">
      <c r="A28" s="244"/>
      <c r="B28" s="909"/>
      <c r="C28" s="902" t="s">
        <v>39</v>
      </c>
      <c r="D28" s="654"/>
      <c r="E28" s="896"/>
      <c r="F28" s="897"/>
      <c r="G28" s="897"/>
      <c r="H28" s="897"/>
      <c r="I28" s="897"/>
      <c r="J28" s="898"/>
      <c r="K28" s="245"/>
      <c r="Q28" s="5">
        <v>18</v>
      </c>
    </row>
    <row r="29" spans="1:17" hidden="1">
      <c r="A29" s="244"/>
      <c r="B29" s="909"/>
      <c r="C29" s="899" t="str">
        <f ca="1">IF('Dynamic lists'!$C14=0,"",'Dynamic lists'!$C14)</f>
        <v/>
      </c>
      <c r="D29" s="900"/>
      <c r="E29" s="412" t="str">
        <f ca="1">IFERROR(IF(INDEX(Table_TCZs_RP2[2020_ACTUAL_PERF],MATCH(LEFT(C29,4),Table_TCZs_RP2[[APT_CODE]:[APT_CODE]],0))="","-",INDEX(Table_TCZs_RP2[2020_ACTUAL_PERF],MATCH(LEFT(C29,4),Table_TCZs_RP2[[APT_CODE]:[APT_CODE]],0))),"-")</f>
        <v>-</v>
      </c>
      <c r="F29" s="475" t="str">
        <f ca="1">IFERROR(IF(INDEX(Table_TCZs_RP2[2020_TARGET_APT],MATCH(LEFT(C29,4),Table_TCZs_RP2[[APT_CODE]:[APT_CODE]],0))="","-",INDEX(Table_TCZs_RP2[2020_TARGET_APT],MATCH(LEFT(C29,4),Table_TCZs_RP2[[APT_CODE]:[APT_CODE]],0))),"-")</f>
        <v>-</v>
      </c>
      <c r="G29" s="246"/>
      <c r="H29" s="246"/>
      <c r="I29" s="246"/>
      <c r="J29" s="246"/>
      <c r="K29" s="245"/>
      <c r="Q29" s="5">
        <v>19</v>
      </c>
    </row>
    <row r="30" spans="1:17" ht="15.75" hidden="1" customHeight="1" thickBot="1">
      <c r="A30" s="244"/>
      <c r="B30" s="909"/>
      <c r="C30" s="902" t="s">
        <v>39</v>
      </c>
      <c r="D30" s="654"/>
      <c r="E30" s="896"/>
      <c r="F30" s="897"/>
      <c r="G30" s="897"/>
      <c r="H30" s="897"/>
      <c r="I30" s="897"/>
      <c r="J30" s="898"/>
      <c r="K30" s="245"/>
      <c r="Q30" s="5">
        <v>20</v>
      </c>
    </row>
    <row r="31" spans="1:17" hidden="1">
      <c r="A31" s="244"/>
      <c r="B31" s="909"/>
      <c r="C31" s="899" t="str">
        <f ca="1">IF('Dynamic lists'!$C15=0,"",'Dynamic lists'!$C15)</f>
        <v/>
      </c>
      <c r="D31" s="900"/>
      <c r="E31" s="412" t="str">
        <f ca="1">IFERROR(IF(INDEX(Table_TCZs_RP2[2020_ACTUAL_PERF],MATCH(LEFT(C31,4),Table_TCZs_RP2[[APT_CODE]:[APT_CODE]],0))="","-",INDEX(Table_TCZs_RP2[2020_ACTUAL_PERF],MATCH(LEFT(C31,4),Table_TCZs_RP2[[APT_CODE]:[APT_CODE]],0))),"-")</f>
        <v>-</v>
      </c>
      <c r="F31" s="475" t="str">
        <f ca="1">IFERROR(IF(INDEX(Table_TCZs_RP2[2020_TARGET_APT],MATCH(LEFT(C31,4),Table_TCZs_RP2[[APT_CODE]:[APT_CODE]],0))="","-",INDEX(Table_TCZs_RP2[2020_TARGET_APT],MATCH(LEFT(C31,4),Table_TCZs_RP2[[APT_CODE]:[APT_CODE]],0))),"-")</f>
        <v>-</v>
      </c>
      <c r="G31" s="246"/>
      <c r="H31" s="246"/>
      <c r="I31" s="246"/>
      <c r="J31" s="246"/>
      <c r="K31" s="245"/>
      <c r="Q31" s="5">
        <v>21</v>
      </c>
    </row>
    <row r="32" spans="1:17" ht="15.75" hidden="1" customHeight="1" thickBot="1">
      <c r="A32" s="244"/>
      <c r="B32" s="909"/>
      <c r="C32" s="902" t="s">
        <v>39</v>
      </c>
      <c r="D32" s="654"/>
      <c r="E32" s="896"/>
      <c r="F32" s="897"/>
      <c r="G32" s="897"/>
      <c r="H32" s="897"/>
      <c r="I32" s="897"/>
      <c r="J32" s="898"/>
      <c r="K32" s="245"/>
      <c r="Q32" s="5">
        <v>22</v>
      </c>
    </row>
    <row r="33" spans="1:17" hidden="1">
      <c r="A33" s="244"/>
      <c r="B33" s="909"/>
      <c r="C33" s="899" t="str">
        <f ca="1">IF('Dynamic lists'!$C16=0,"",'Dynamic lists'!$C16)</f>
        <v/>
      </c>
      <c r="D33" s="900"/>
      <c r="E33" s="412" t="str">
        <f ca="1">IFERROR(IF(INDEX(Table_TCZs_RP2[2020_ACTUAL_PERF],MATCH(LEFT(C33,4),Table_TCZs_RP2[[APT_CODE]:[APT_CODE]],0))="","-",INDEX(Table_TCZs_RP2[2020_ACTUAL_PERF],MATCH(LEFT(C33,4),Table_TCZs_RP2[[APT_CODE]:[APT_CODE]],0))),"-")</f>
        <v>-</v>
      </c>
      <c r="F33" s="475" t="str">
        <f ca="1">IFERROR(IF(INDEX(Table_TCZs_RP2[2020_TARGET_APT],MATCH(LEFT(C33,4),Table_TCZs_RP2[[APT_CODE]:[APT_CODE]],0))="","-",INDEX(Table_TCZs_RP2[2020_TARGET_APT],MATCH(LEFT(C33,4),Table_TCZs_RP2[[APT_CODE]:[APT_CODE]],0))),"-")</f>
        <v>-</v>
      </c>
      <c r="G33" s="246"/>
      <c r="H33" s="246"/>
      <c r="I33" s="246"/>
      <c r="J33" s="246"/>
      <c r="K33" s="245"/>
      <c r="Q33" s="5">
        <v>23</v>
      </c>
    </row>
    <row r="34" spans="1:17" ht="15.75" hidden="1" customHeight="1" thickBot="1">
      <c r="A34" s="244"/>
      <c r="B34" s="909"/>
      <c r="C34" s="902" t="s">
        <v>39</v>
      </c>
      <c r="D34" s="654"/>
      <c r="E34" s="896"/>
      <c r="F34" s="897"/>
      <c r="G34" s="897"/>
      <c r="H34" s="897"/>
      <c r="I34" s="897"/>
      <c r="J34" s="898"/>
      <c r="K34" s="245"/>
      <c r="Q34" s="5">
        <v>24</v>
      </c>
    </row>
    <row r="35" spans="1:17" hidden="1">
      <c r="A35" s="244"/>
      <c r="B35" s="909"/>
      <c r="C35" s="899" t="str">
        <f ca="1">IF('Dynamic lists'!$C17=0,"",'Dynamic lists'!$C17)</f>
        <v/>
      </c>
      <c r="D35" s="900"/>
      <c r="E35" s="412" t="str">
        <f ca="1">IFERROR(IF(INDEX(Table_TCZs_RP2[2020_ACTUAL_PERF],MATCH(LEFT(C35,4),Table_TCZs_RP2[[APT_CODE]:[APT_CODE]],0))="","-",INDEX(Table_TCZs_RP2[2020_ACTUAL_PERF],MATCH(LEFT(C35,4),Table_TCZs_RP2[[APT_CODE]:[APT_CODE]],0))),"-")</f>
        <v>-</v>
      </c>
      <c r="F35" s="475" t="str">
        <f ca="1">IFERROR(IF(INDEX(Table_TCZs_RP2[2020_TARGET_APT],MATCH(LEFT(C35,4),Table_TCZs_RP2[[APT_CODE]:[APT_CODE]],0))="","-",INDEX(Table_TCZs_RP2[2020_TARGET_APT],MATCH(LEFT(C35,4),Table_TCZs_RP2[[APT_CODE]:[APT_CODE]],0))),"-")</f>
        <v>-</v>
      </c>
      <c r="G35" s="246"/>
      <c r="H35" s="246"/>
      <c r="I35" s="246"/>
      <c r="J35" s="246"/>
      <c r="K35" s="245"/>
      <c r="Q35" s="5">
        <v>25</v>
      </c>
    </row>
    <row r="36" spans="1:17" ht="15.75" hidden="1" customHeight="1" thickBot="1">
      <c r="A36" s="244"/>
      <c r="B36" s="909"/>
      <c r="C36" s="902" t="s">
        <v>39</v>
      </c>
      <c r="D36" s="654"/>
      <c r="E36" s="896"/>
      <c r="F36" s="897"/>
      <c r="G36" s="897"/>
      <c r="H36" s="897"/>
      <c r="I36" s="897"/>
      <c r="J36" s="898"/>
      <c r="K36" s="245"/>
      <c r="Q36" s="5">
        <v>26</v>
      </c>
    </row>
    <row r="37" spans="1:17" hidden="1">
      <c r="A37" s="244"/>
      <c r="B37" s="909"/>
      <c r="C37" s="899" t="str">
        <f ca="1">IF('Dynamic lists'!$C18=0,"",'Dynamic lists'!$C18)</f>
        <v/>
      </c>
      <c r="D37" s="900"/>
      <c r="E37" s="412" t="str">
        <f ca="1">IFERROR(IF(INDEX(Table_TCZs_RP2[2020_ACTUAL_PERF],MATCH(LEFT(C37,4),Table_TCZs_RP2[[APT_CODE]:[APT_CODE]],0))="","-",INDEX(Table_TCZs_RP2[2020_ACTUAL_PERF],MATCH(LEFT(C37,4),Table_TCZs_RP2[[APT_CODE]:[APT_CODE]],0))),"-")</f>
        <v>-</v>
      </c>
      <c r="F37" s="475" t="str">
        <f ca="1">IFERROR(IF(INDEX(Table_TCZs_RP2[2020_TARGET_APT],MATCH(LEFT(C37,4),Table_TCZs_RP2[[APT_CODE]:[APT_CODE]],0))="","-",INDEX(Table_TCZs_RP2[2020_TARGET_APT],MATCH(LEFT(C37,4),Table_TCZs_RP2[[APT_CODE]:[APT_CODE]],0))),"-")</f>
        <v>-</v>
      </c>
      <c r="G37" s="246"/>
      <c r="H37" s="246"/>
      <c r="I37" s="246"/>
      <c r="J37" s="246"/>
      <c r="K37" s="245"/>
      <c r="Q37" s="5">
        <v>27</v>
      </c>
    </row>
    <row r="38" spans="1:17" ht="15.75" hidden="1" customHeight="1" thickBot="1">
      <c r="A38" s="244"/>
      <c r="B38" s="909"/>
      <c r="C38" s="902" t="s">
        <v>39</v>
      </c>
      <c r="D38" s="654"/>
      <c r="E38" s="896"/>
      <c r="F38" s="897"/>
      <c r="G38" s="897"/>
      <c r="H38" s="897"/>
      <c r="I38" s="897"/>
      <c r="J38" s="898"/>
      <c r="K38" s="245"/>
      <c r="Q38" s="5">
        <v>28</v>
      </c>
    </row>
    <row r="39" spans="1:17" hidden="1">
      <c r="A39" s="244"/>
      <c r="B39" s="909"/>
      <c r="C39" s="899" t="str">
        <f ca="1">IF('Dynamic lists'!$C19=0,"",'Dynamic lists'!$C19)</f>
        <v/>
      </c>
      <c r="D39" s="900"/>
      <c r="E39" s="412" t="str">
        <f ca="1">IFERROR(IF(INDEX(Table_TCZs_RP2[2020_ACTUAL_PERF],MATCH(LEFT(C39,4),Table_TCZs_RP2[[APT_CODE]:[APT_CODE]],0))="","-",INDEX(Table_TCZs_RP2[2020_ACTUAL_PERF],MATCH(LEFT(C39,4),Table_TCZs_RP2[[APT_CODE]:[APT_CODE]],0))),"-")</f>
        <v>-</v>
      </c>
      <c r="F39" s="475" t="str">
        <f ca="1">IFERROR(IF(INDEX(Table_TCZs_RP2[2020_TARGET_APT],MATCH(LEFT(C39,4),Table_TCZs_RP2[[APT_CODE]:[APT_CODE]],0))="","-",INDEX(Table_TCZs_RP2[2020_TARGET_APT],MATCH(LEFT(C39,4),Table_TCZs_RP2[[APT_CODE]:[APT_CODE]],0))),"-")</f>
        <v>-</v>
      </c>
      <c r="G39" s="246"/>
      <c r="H39" s="246"/>
      <c r="I39" s="246"/>
      <c r="J39" s="246"/>
      <c r="K39" s="245"/>
      <c r="Q39" s="5">
        <v>29</v>
      </c>
    </row>
    <row r="40" spans="1:17" ht="15.75" hidden="1" customHeight="1" thickBot="1">
      <c r="A40" s="244"/>
      <c r="B40" s="909"/>
      <c r="C40" s="902" t="s">
        <v>39</v>
      </c>
      <c r="D40" s="654"/>
      <c r="E40" s="896"/>
      <c r="F40" s="897"/>
      <c r="G40" s="897"/>
      <c r="H40" s="897"/>
      <c r="I40" s="897"/>
      <c r="J40" s="898"/>
      <c r="K40" s="245"/>
      <c r="Q40" s="5">
        <v>30</v>
      </c>
    </row>
    <row r="41" spans="1:17" hidden="1">
      <c r="A41" s="244"/>
      <c r="B41" s="909"/>
      <c r="C41" s="899" t="str">
        <f ca="1">IF('Dynamic lists'!$C20=0,"",'Dynamic lists'!$C20)</f>
        <v/>
      </c>
      <c r="D41" s="900"/>
      <c r="E41" s="412" t="str">
        <f ca="1">IFERROR(IF(INDEX(Table_TCZs_RP2[2020_ACTUAL_PERF],MATCH(LEFT(C41,4),Table_TCZs_RP2[[APT_CODE]:[APT_CODE]],0))="","-",INDEX(Table_TCZs_RP2[2020_ACTUAL_PERF],MATCH(LEFT(C41,4),Table_TCZs_RP2[[APT_CODE]:[APT_CODE]],0))),"-")</f>
        <v>-</v>
      </c>
      <c r="F41" s="475" t="str">
        <f ca="1">IFERROR(IF(INDEX(Table_TCZs_RP2[2020_TARGET_APT],MATCH(LEFT(C41,4),Table_TCZs_RP2[[APT_CODE]:[APT_CODE]],0))="","-",INDEX(Table_TCZs_RP2[2020_TARGET_APT],MATCH(LEFT(C41,4),Table_TCZs_RP2[[APT_CODE]:[APT_CODE]],0))),"-")</f>
        <v>-</v>
      </c>
      <c r="G41" s="246"/>
      <c r="H41" s="246"/>
      <c r="I41" s="246"/>
      <c r="J41" s="246"/>
      <c r="K41" s="245"/>
      <c r="Q41" s="5">
        <v>31</v>
      </c>
    </row>
    <row r="42" spans="1:17" ht="15.75" hidden="1" customHeight="1" thickBot="1">
      <c r="A42" s="244"/>
      <c r="B42" s="909"/>
      <c r="C42" s="902" t="s">
        <v>39</v>
      </c>
      <c r="D42" s="654"/>
      <c r="E42" s="896"/>
      <c r="F42" s="897"/>
      <c r="G42" s="897"/>
      <c r="H42" s="897"/>
      <c r="I42" s="897"/>
      <c r="J42" s="898"/>
      <c r="K42" s="245"/>
      <c r="Q42" s="5">
        <v>32</v>
      </c>
    </row>
    <row r="43" spans="1:17" hidden="1">
      <c r="A43" s="244"/>
      <c r="B43" s="909"/>
      <c r="C43" s="899" t="str">
        <f ca="1">IF('Dynamic lists'!$C21=0,"",'Dynamic lists'!$C21)</f>
        <v/>
      </c>
      <c r="D43" s="900"/>
      <c r="E43" s="412" t="str">
        <f ca="1">IFERROR(IF(INDEX(Table_TCZs_RP2[2020_ACTUAL_PERF],MATCH(LEFT(C43,4),Table_TCZs_RP2[[APT_CODE]:[APT_CODE]],0))="","-",INDEX(Table_TCZs_RP2[2020_ACTUAL_PERF],MATCH(LEFT(C43,4),Table_TCZs_RP2[[APT_CODE]:[APT_CODE]],0))),"-")</f>
        <v>-</v>
      </c>
      <c r="F43" s="475" t="str">
        <f ca="1">IFERROR(IF(INDEX(Table_TCZs_RP2[2020_TARGET_APT],MATCH(LEFT(C43,4),Table_TCZs_RP2[[APT_CODE]:[APT_CODE]],0))="","-",INDEX(Table_TCZs_RP2[2020_TARGET_APT],MATCH(LEFT(C43,4),Table_TCZs_RP2[[APT_CODE]:[APT_CODE]],0))),"-")</f>
        <v>-</v>
      </c>
      <c r="G43" s="246"/>
      <c r="H43" s="246"/>
      <c r="I43" s="246"/>
      <c r="J43" s="246"/>
      <c r="K43" s="245"/>
      <c r="Q43" s="5">
        <v>33</v>
      </c>
    </row>
    <row r="44" spans="1:17" ht="15.75" hidden="1" customHeight="1" thickBot="1">
      <c r="A44" s="244"/>
      <c r="B44" s="909"/>
      <c r="C44" s="902" t="s">
        <v>39</v>
      </c>
      <c r="D44" s="654"/>
      <c r="E44" s="896"/>
      <c r="F44" s="897"/>
      <c r="G44" s="897"/>
      <c r="H44" s="897"/>
      <c r="I44" s="897"/>
      <c r="J44" s="898"/>
      <c r="K44" s="245"/>
      <c r="Q44" s="5">
        <v>34</v>
      </c>
    </row>
    <row r="45" spans="1:17" hidden="1">
      <c r="A45" s="244"/>
      <c r="B45" s="909"/>
      <c r="C45" s="899" t="str">
        <f ca="1">IF('Dynamic lists'!$C22=0,"",'Dynamic lists'!$C22)</f>
        <v/>
      </c>
      <c r="D45" s="900"/>
      <c r="E45" s="412" t="str">
        <f ca="1">IFERROR(IF(INDEX(Table_TCZs_RP2[2020_ACTUAL_PERF],MATCH(LEFT(C45,4),Table_TCZs_RP2[[APT_CODE]:[APT_CODE]],0))="","-",INDEX(Table_TCZs_RP2[2020_ACTUAL_PERF],MATCH(LEFT(C45,4),Table_TCZs_RP2[[APT_CODE]:[APT_CODE]],0))),"-")</f>
        <v>-</v>
      </c>
      <c r="F45" s="475" t="str">
        <f ca="1">IFERROR(IF(INDEX(Table_TCZs_RP2[2020_TARGET_APT],MATCH(LEFT(C45,4),Table_TCZs_RP2[[APT_CODE]:[APT_CODE]],0))="","-",INDEX(Table_TCZs_RP2[2020_TARGET_APT],MATCH(LEFT(C45,4),Table_TCZs_RP2[[APT_CODE]:[APT_CODE]],0))),"-")</f>
        <v>-</v>
      </c>
      <c r="G45" s="246"/>
      <c r="H45" s="246"/>
      <c r="I45" s="246"/>
      <c r="J45" s="246"/>
      <c r="K45" s="245"/>
      <c r="Q45" s="5">
        <v>35</v>
      </c>
    </row>
    <row r="46" spans="1:17" ht="15.75" hidden="1" customHeight="1" thickBot="1">
      <c r="A46" s="244"/>
      <c r="B46" s="909"/>
      <c r="C46" s="902" t="s">
        <v>39</v>
      </c>
      <c r="D46" s="654"/>
      <c r="E46" s="896"/>
      <c r="F46" s="897"/>
      <c r="G46" s="897"/>
      <c r="H46" s="897"/>
      <c r="I46" s="897"/>
      <c r="J46" s="898"/>
      <c r="K46" s="245"/>
      <c r="Q46" s="5">
        <v>36</v>
      </c>
    </row>
    <row r="47" spans="1:17" hidden="1">
      <c r="A47" s="244"/>
      <c r="B47" s="909"/>
      <c r="C47" s="899" t="str">
        <f ca="1">IF('Dynamic lists'!$C23=0,"",'Dynamic lists'!$C23)</f>
        <v/>
      </c>
      <c r="D47" s="900"/>
      <c r="E47" s="412" t="str">
        <f ca="1">IFERROR(IF(INDEX(Table_TCZs_RP2[2020_ACTUAL_PERF],MATCH(LEFT(C47,4),Table_TCZs_RP2[[APT_CODE]:[APT_CODE]],0))="","-",INDEX(Table_TCZs_RP2[2020_ACTUAL_PERF],MATCH(LEFT(C47,4),Table_TCZs_RP2[[APT_CODE]:[APT_CODE]],0))),"-")</f>
        <v>-</v>
      </c>
      <c r="F47" s="475" t="str">
        <f ca="1">IFERROR(IF(INDEX(Table_TCZs_RP2[2020_TARGET_APT],MATCH(LEFT(C47,4),Table_TCZs_RP2[[APT_CODE]:[APT_CODE]],0))="","-",INDEX(Table_TCZs_RP2[2020_TARGET_APT],MATCH(LEFT(C47,4),Table_TCZs_RP2[[APT_CODE]:[APT_CODE]],0))),"-")</f>
        <v>-</v>
      </c>
      <c r="G47" s="246"/>
      <c r="H47" s="246"/>
      <c r="I47" s="246"/>
      <c r="J47" s="246"/>
      <c r="K47" s="245"/>
      <c r="Q47" s="5">
        <v>37</v>
      </c>
    </row>
    <row r="48" spans="1:17" ht="15.75" hidden="1" customHeight="1" thickBot="1">
      <c r="A48" s="244"/>
      <c r="B48" s="909"/>
      <c r="C48" s="902" t="s">
        <v>39</v>
      </c>
      <c r="D48" s="654"/>
      <c r="E48" s="896"/>
      <c r="F48" s="897"/>
      <c r="G48" s="897"/>
      <c r="H48" s="897"/>
      <c r="I48" s="897"/>
      <c r="J48" s="898"/>
      <c r="K48" s="245"/>
      <c r="Q48" s="5">
        <v>38</v>
      </c>
    </row>
    <row r="49" spans="1:17" hidden="1">
      <c r="A49" s="244"/>
      <c r="B49" s="909"/>
      <c r="C49" s="899" t="str">
        <f ca="1">IF('Dynamic lists'!$C24=0,"",'Dynamic lists'!$C24)</f>
        <v/>
      </c>
      <c r="D49" s="900"/>
      <c r="E49" s="412" t="str">
        <f ca="1">IFERROR(IF(INDEX(Table_TCZs_RP2[2020_ACTUAL_PERF],MATCH(LEFT(C49,4),Table_TCZs_RP2[[APT_CODE]:[APT_CODE]],0))="","-",INDEX(Table_TCZs_RP2[2020_ACTUAL_PERF],MATCH(LEFT(C49,4),Table_TCZs_RP2[[APT_CODE]:[APT_CODE]],0))),"-")</f>
        <v>-</v>
      </c>
      <c r="F49" s="475" t="str">
        <f ca="1">IFERROR(IF(INDEX(Table_TCZs_RP2[2020_TARGET_APT],MATCH(LEFT(C49,4),Table_TCZs_RP2[[APT_CODE]:[APT_CODE]],0))="","-",INDEX(Table_TCZs_RP2[2020_TARGET_APT],MATCH(LEFT(C49,4),Table_TCZs_RP2[[APT_CODE]:[APT_CODE]],0))),"-")</f>
        <v>-</v>
      </c>
      <c r="G49" s="246"/>
      <c r="H49" s="246"/>
      <c r="I49" s="246"/>
      <c r="J49" s="246"/>
      <c r="K49" s="245"/>
      <c r="Q49" s="5">
        <v>39</v>
      </c>
    </row>
    <row r="50" spans="1:17" ht="15.75" hidden="1" customHeight="1" thickBot="1">
      <c r="A50" s="244"/>
      <c r="B50" s="909"/>
      <c r="C50" s="902" t="s">
        <v>39</v>
      </c>
      <c r="D50" s="654"/>
      <c r="E50" s="896"/>
      <c r="F50" s="897"/>
      <c r="G50" s="897"/>
      <c r="H50" s="897"/>
      <c r="I50" s="897"/>
      <c r="J50" s="898"/>
      <c r="K50" s="245"/>
      <c r="Q50" s="5">
        <v>40</v>
      </c>
    </row>
    <row r="51" spans="1:17" hidden="1">
      <c r="A51" s="244"/>
      <c r="B51" s="909"/>
      <c r="C51" s="899" t="str">
        <f ca="1">IF('Dynamic lists'!$C25=0,"",'Dynamic lists'!$C25)</f>
        <v/>
      </c>
      <c r="D51" s="900"/>
      <c r="E51" s="412" t="str">
        <f ca="1">IFERROR(IF(INDEX(Table_TCZs_RP2[2020_ACTUAL_PERF],MATCH(LEFT(C51,4),Table_TCZs_RP2[[APT_CODE]:[APT_CODE]],0))="","-",INDEX(Table_TCZs_RP2[2020_ACTUAL_PERF],MATCH(LEFT(C51,4),Table_TCZs_RP2[[APT_CODE]:[APT_CODE]],0))),"-")</f>
        <v>-</v>
      </c>
      <c r="F51" s="475" t="str">
        <f ca="1">IFERROR(IF(INDEX(Table_TCZs_RP2[2020_TARGET_APT],MATCH(LEFT(C51,4),Table_TCZs_RP2[[APT_CODE]:[APT_CODE]],0))="","-",INDEX(Table_TCZs_RP2[2020_TARGET_APT],MATCH(LEFT(C51,4),Table_TCZs_RP2[[APT_CODE]:[APT_CODE]],0))),"-")</f>
        <v>-</v>
      </c>
      <c r="G51" s="246"/>
      <c r="H51" s="246"/>
      <c r="I51" s="246"/>
      <c r="J51" s="246"/>
      <c r="K51" s="245"/>
      <c r="Q51" s="5">
        <v>41</v>
      </c>
    </row>
    <row r="52" spans="1:17" ht="15.75" hidden="1" customHeight="1" thickBot="1">
      <c r="A52" s="244"/>
      <c r="B52" s="909"/>
      <c r="C52" s="902" t="s">
        <v>39</v>
      </c>
      <c r="D52" s="654"/>
      <c r="E52" s="896"/>
      <c r="F52" s="897"/>
      <c r="G52" s="897"/>
      <c r="H52" s="897"/>
      <c r="I52" s="897"/>
      <c r="J52" s="898"/>
      <c r="K52" s="245"/>
      <c r="Q52" s="5">
        <v>42</v>
      </c>
    </row>
    <row r="53" spans="1:17" hidden="1">
      <c r="A53" s="244"/>
      <c r="B53" s="909"/>
      <c r="C53" s="899" t="str">
        <f ca="1">IF('Dynamic lists'!$C26=0,"",'Dynamic lists'!$C26)</f>
        <v/>
      </c>
      <c r="D53" s="900"/>
      <c r="E53" s="412" t="str">
        <f ca="1">IFERROR(IF(INDEX(Table_TCZs_RP2[2020_ACTUAL_PERF],MATCH(LEFT(C53,4),Table_TCZs_RP2[[APT_CODE]:[APT_CODE]],0))="","-",INDEX(Table_TCZs_RP2[2020_ACTUAL_PERF],MATCH(LEFT(C53,4),Table_TCZs_RP2[[APT_CODE]:[APT_CODE]],0))),"-")</f>
        <v>-</v>
      </c>
      <c r="F53" s="475" t="str">
        <f ca="1">IFERROR(IF(INDEX(Table_TCZs_RP2[2020_TARGET_APT],MATCH(LEFT(C53,4),Table_TCZs_RP2[[APT_CODE]:[APT_CODE]],0))="","-",INDEX(Table_TCZs_RP2[2020_TARGET_APT],MATCH(LEFT(C53,4),Table_TCZs_RP2[[APT_CODE]:[APT_CODE]],0))),"-")</f>
        <v>-</v>
      </c>
      <c r="G53" s="246"/>
      <c r="H53" s="246"/>
      <c r="I53" s="246"/>
      <c r="J53" s="246"/>
      <c r="K53" s="245"/>
      <c r="Q53" s="5">
        <v>43</v>
      </c>
    </row>
    <row r="54" spans="1:17" ht="15.75" hidden="1" customHeight="1" thickBot="1">
      <c r="A54" s="244"/>
      <c r="B54" s="909"/>
      <c r="C54" s="902" t="s">
        <v>39</v>
      </c>
      <c r="D54" s="654"/>
      <c r="E54" s="896"/>
      <c r="F54" s="897"/>
      <c r="G54" s="897"/>
      <c r="H54" s="897"/>
      <c r="I54" s="897"/>
      <c r="J54" s="898"/>
      <c r="K54" s="245"/>
      <c r="Q54" s="5">
        <v>44</v>
      </c>
    </row>
    <row r="55" spans="1:17" hidden="1">
      <c r="A55" s="244"/>
      <c r="B55" s="909"/>
      <c r="C55" s="899" t="str">
        <f ca="1">IF('Dynamic lists'!$C27=0,"",'Dynamic lists'!$C27)</f>
        <v/>
      </c>
      <c r="D55" s="900"/>
      <c r="E55" s="412" t="str">
        <f ca="1">IFERROR(IF(INDEX(Table_TCZs_RP2[2020_ACTUAL_PERF],MATCH(LEFT(C55,4),Table_TCZs_RP2[[APT_CODE]:[APT_CODE]],0))="","-",INDEX(Table_TCZs_RP2[2020_ACTUAL_PERF],MATCH(LEFT(C55,4),Table_TCZs_RP2[[APT_CODE]:[APT_CODE]],0))),"-")</f>
        <v>-</v>
      </c>
      <c r="F55" s="475" t="str">
        <f ca="1">IFERROR(IF(INDEX(Table_TCZs_RP2[2020_TARGET_APT],MATCH(LEFT(C55,4),Table_TCZs_RP2[[APT_CODE]:[APT_CODE]],0))="","-",INDEX(Table_TCZs_RP2[2020_TARGET_APT],MATCH(LEFT(C55,4),Table_TCZs_RP2[[APT_CODE]:[APT_CODE]],0))),"-")</f>
        <v>-</v>
      </c>
      <c r="G55" s="246"/>
      <c r="H55" s="246"/>
      <c r="I55" s="246"/>
      <c r="J55" s="246"/>
      <c r="K55" s="245"/>
      <c r="Q55" s="5">
        <v>45</v>
      </c>
    </row>
    <row r="56" spans="1:17" ht="15.75" hidden="1" customHeight="1" thickBot="1">
      <c r="A56" s="244"/>
      <c r="B56" s="909"/>
      <c r="C56" s="902" t="s">
        <v>39</v>
      </c>
      <c r="D56" s="654"/>
      <c r="E56" s="896"/>
      <c r="F56" s="897"/>
      <c r="G56" s="897"/>
      <c r="H56" s="897"/>
      <c r="I56" s="897"/>
      <c r="J56" s="898"/>
      <c r="K56" s="245"/>
      <c r="Q56" s="5">
        <v>46</v>
      </c>
    </row>
    <row r="57" spans="1:17" hidden="1">
      <c r="A57" s="244"/>
      <c r="B57" s="909"/>
      <c r="C57" s="899" t="str">
        <f ca="1">IF('Dynamic lists'!$C28=0,"",'Dynamic lists'!$C28)</f>
        <v/>
      </c>
      <c r="D57" s="900"/>
      <c r="E57" s="412" t="str">
        <f ca="1">IFERROR(IF(INDEX(Table_TCZs_RP2[2020_ACTUAL_PERF],MATCH(LEFT(C57,4),Table_TCZs_RP2[[APT_CODE]:[APT_CODE]],0))="","-",INDEX(Table_TCZs_RP2[2020_ACTUAL_PERF],MATCH(LEFT(C57,4),Table_TCZs_RP2[[APT_CODE]:[APT_CODE]],0))),"-")</f>
        <v>-</v>
      </c>
      <c r="F57" s="475" t="str">
        <f ca="1">IFERROR(IF(INDEX(Table_TCZs_RP2[2020_TARGET_APT],MATCH(LEFT(C57,4),Table_TCZs_RP2[[APT_CODE]:[APT_CODE]],0))="","-",INDEX(Table_TCZs_RP2[2020_TARGET_APT],MATCH(LEFT(C57,4),Table_TCZs_RP2[[APT_CODE]:[APT_CODE]],0))),"-")</f>
        <v>-</v>
      </c>
      <c r="G57" s="246"/>
      <c r="H57" s="246"/>
      <c r="I57" s="246"/>
      <c r="J57" s="246"/>
      <c r="K57" s="245"/>
      <c r="Q57" s="5">
        <v>47</v>
      </c>
    </row>
    <row r="58" spans="1:17" ht="15.75" hidden="1" customHeight="1" thickBot="1">
      <c r="A58" s="244"/>
      <c r="B58" s="909"/>
      <c r="C58" s="902" t="s">
        <v>39</v>
      </c>
      <c r="D58" s="654"/>
      <c r="E58" s="896"/>
      <c r="F58" s="897"/>
      <c r="G58" s="897"/>
      <c r="H58" s="897"/>
      <c r="I58" s="897"/>
      <c r="J58" s="898"/>
      <c r="K58" s="245"/>
      <c r="Q58" s="5">
        <v>48</v>
      </c>
    </row>
    <row r="59" spans="1:17" hidden="1">
      <c r="A59" s="244"/>
      <c r="B59" s="909"/>
      <c r="C59" s="899" t="str">
        <f ca="1">IF('Dynamic lists'!$C29=0,"",'Dynamic lists'!$C29)</f>
        <v/>
      </c>
      <c r="D59" s="900"/>
      <c r="E59" s="412" t="str">
        <f ca="1">IFERROR(IF(INDEX(Table_TCZs_RP2[2020_ACTUAL_PERF],MATCH(LEFT(C59,4),Table_TCZs_RP2[[APT_CODE]:[APT_CODE]],0))="","-",INDEX(Table_TCZs_RP2[2020_ACTUAL_PERF],MATCH(LEFT(C59,4),Table_TCZs_RP2[[APT_CODE]:[APT_CODE]],0))),"-")</f>
        <v>-</v>
      </c>
      <c r="F59" s="475" t="str">
        <f ca="1">IFERROR(IF(INDEX(Table_TCZs_RP2[2020_TARGET_APT],MATCH(LEFT(C59,4),Table_TCZs_RP2[[APT_CODE]:[APT_CODE]],0))="","-",INDEX(Table_TCZs_RP2[2020_TARGET_APT],MATCH(LEFT(C59,4),Table_TCZs_RP2[[APT_CODE]:[APT_CODE]],0))),"-")</f>
        <v>-</v>
      </c>
      <c r="G59" s="246"/>
      <c r="H59" s="246"/>
      <c r="I59" s="246"/>
      <c r="J59" s="246"/>
      <c r="K59" s="245"/>
      <c r="Q59" s="5">
        <v>49</v>
      </c>
    </row>
    <row r="60" spans="1:17" ht="15.75" hidden="1" customHeight="1" thickBot="1">
      <c r="A60" s="244"/>
      <c r="B60" s="909"/>
      <c r="C60" s="902" t="s">
        <v>39</v>
      </c>
      <c r="D60" s="654"/>
      <c r="E60" s="896"/>
      <c r="F60" s="897"/>
      <c r="G60" s="897"/>
      <c r="H60" s="897"/>
      <c r="I60" s="897"/>
      <c r="J60" s="898"/>
      <c r="K60" s="245"/>
      <c r="Q60" s="5">
        <v>50</v>
      </c>
    </row>
    <row r="61" spans="1:17" hidden="1">
      <c r="A61" s="244"/>
      <c r="B61" s="909"/>
      <c r="C61" s="899" t="str">
        <f ca="1">IF('Dynamic lists'!$C30=0,"",'Dynamic lists'!$C30)</f>
        <v/>
      </c>
      <c r="D61" s="900"/>
      <c r="E61" s="412" t="str">
        <f ca="1">IFERROR(IF(INDEX(Table_TCZs_RP2[2020_ACTUAL_PERF],MATCH(LEFT(C61,4),Table_TCZs_RP2[[APT_CODE]:[APT_CODE]],0))="","-",INDEX(Table_TCZs_RP2[2020_ACTUAL_PERF],MATCH(LEFT(C61,4),Table_TCZs_RP2[[APT_CODE]:[APT_CODE]],0))),"-")</f>
        <v>-</v>
      </c>
      <c r="F61" s="475" t="str">
        <f ca="1">IFERROR(IF(INDEX(Table_TCZs_RP2[2020_TARGET_APT],MATCH(LEFT(C61,4),Table_TCZs_RP2[[APT_CODE]:[APT_CODE]],0))="","-",INDEX(Table_TCZs_RP2[2020_TARGET_APT],MATCH(LEFT(C61,4),Table_TCZs_RP2[[APT_CODE]:[APT_CODE]],0))),"-")</f>
        <v>-</v>
      </c>
      <c r="G61" s="246"/>
      <c r="H61" s="246"/>
      <c r="I61" s="246"/>
      <c r="J61" s="246"/>
      <c r="K61" s="245"/>
      <c r="Q61" s="5">
        <v>51</v>
      </c>
    </row>
    <row r="62" spans="1:17" ht="15.75" hidden="1" customHeight="1" thickBot="1">
      <c r="A62" s="244"/>
      <c r="B62" s="909"/>
      <c r="C62" s="902" t="s">
        <v>39</v>
      </c>
      <c r="D62" s="654"/>
      <c r="E62" s="896"/>
      <c r="F62" s="897"/>
      <c r="G62" s="897"/>
      <c r="H62" s="897"/>
      <c r="I62" s="897"/>
      <c r="J62" s="898"/>
      <c r="K62" s="245"/>
      <c r="Q62" s="5">
        <v>52</v>
      </c>
    </row>
    <row r="63" spans="1:17" hidden="1">
      <c r="A63" s="244"/>
      <c r="B63" s="909"/>
      <c r="C63" s="899" t="str">
        <f ca="1">IF('Dynamic lists'!$C31=0,"",'Dynamic lists'!$C31)</f>
        <v/>
      </c>
      <c r="D63" s="900"/>
      <c r="E63" s="412" t="str">
        <f ca="1">IFERROR(IF(INDEX(Table_TCZs_RP2[2020_ACTUAL_PERF],MATCH(LEFT(C63,4),Table_TCZs_RP2[[APT_CODE]:[APT_CODE]],0))="","-",INDEX(Table_TCZs_RP2[2020_ACTUAL_PERF],MATCH(LEFT(C63,4),Table_TCZs_RP2[[APT_CODE]:[APT_CODE]],0))),"-")</f>
        <v>-</v>
      </c>
      <c r="F63" s="475" t="str">
        <f ca="1">IFERROR(IF(INDEX(Table_TCZs_RP2[2020_TARGET_APT],MATCH(LEFT(C63,4),Table_TCZs_RP2[[APT_CODE]:[APT_CODE]],0))="","-",INDEX(Table_TCZs_RP2[2020_TARGET_APT],MATCH(LEFT(C63,4),Table_TCZs_RP2[[APT_CODE]:[APT_CODE]],0))),"-")</f>
        <v>-</v>
      </c>
      <c r="G63" s="246"/>
      <c r="H63" s="246"/>
      <c r="I63" s="246"/>
      <c r="J63" s="246"/>
      <c r="K63" s="245"/>
      <c r="Q63" s="5">
        <v>53</v>
      </c>
    </row>
    <row r="64" spans="1:17" ht="15.75" hidden="1" customHeight="1" thickBot="1">
      <c r="A64" s="244"/>
      <c r="B64" s="909"/>
      <c r="C64" s="902" t="s">
        <v>39</v>
      </c>
      <c r="D64" s="654"/>
      <c r="E64" s="896"/>
      <c r="F64" s="897"/>
      <c r="G64" s="897"/>
      <c r="H64" s="897"/>
      <c r="I64" s="897"/>
      <c r="J64" s="898"/>
      <c r="K64" s="245"/>
      <c r="Q64" s="5">
        <v>54</v>
      </c>
    </row>
    <row r="65" spans="1:17" hidden="1">
      <c r="A65" s="244"/>
      <c r="B65" s="909"/>
      <c r="C65" s="899" t="str">
        <f ca="1">IF('Dynamic lists'!$C32=0,"",'Dynamic lists'!$C32)</f>
        <v/>
      </c>
      <c r="D65" s="900"/>
      <c r="E65" s="412" t="str">
        <f ca="1">IFERROR(IF(INDEX(Table_TCZs_RP2[2020_ACTUAL_PERF],MATCH(LEFT(C65,4),Table_TCZs_RP2[[APT_CODE]:[APT_CODE]],0))="","-",INDEX(Table_TCZs_RP2[2020_ACTUAL_PERF],MATCH(LEFT(C65,4),Table_TCZs_RP2[[APT_CODE]:[APT_CODE]],0))),"-")</f>
        <v>-</v>
      </c>
      <c r="F65" s="475" t="str">
        <f ca="1">IFERROR(IF(INDEX(Table_TCZs_RP2[2020_TARGET_APT],MATCH(LEFT(C65,4),Table_TCZs_RP2[[APT_CODE]:[APT_CODE]],0))="","-",INDEX(Table_TCZs_RP2[2020_TARGET_APT],MATCH(LEFT(C65,4),Table_TCZs_RP2[[APT_CODE]:[APT_CODE]],0))),"-")</f>
        <v>-</v>
      </c>
      <c r="G65" s="246"/>
      <c r="H65" s="246"/>
      <c r="I65" s="246"/>
      <c r="J65" s="246"/>
      <c r="K65" s="245"/>
      <c r="Q65" s="5">
        <v>55</v>
      </c>
    </row>
    <row r="66" spans="1:17" ht="15.75" hidden="1" customHeight="1" thickBot="1">
      <c r="A66" s="244"/>
      <c r="B66" s="909"/>
      <c r="C66" s="902" t="s">
        <v>39</v>
      </c>
      <c r="D66" s="654"/>
      <c r="E66" s="896"/>
      <c r="F66" s="897"/>
      <c r="G66" s="897"/>
      <c r="H66" s="897"/>
      <c r="I66" s="897"/>
      <c r="J66" s="898"/>
      <c r="K66" s="245"/>
      <c r="Q66" s="5">
        <v>56</v>
      </c>
    </row>
    <row r="67" spans="1:17" hidden="1">
      <c r="A67" s="244"/>
      <c r="B67" s="909"/>
      <c r="C67" s="899" t="str">
        <f ca="1">IF('Dynamic lists'!$C33=0,"",'Dynamic lists'!$C33)</f>
        <v/>
      </c>
      <c r="D67" s="900"/>
      <c r="E67" s="412" t="str">
        <f ca="1">IFERROR(IF(INDEX(Table_TCZs_RP2[2020_ACTUAL_PERF],MATCH(LEFT(C67,4),Table_TCZs_RP2[[APT_CODE]:[APT_CODE]],0))="","-",INDEX(Table_TCZs_RP2[2020_ACTUAL_PERF],MATCH(LEFT(C67,4),Table_TCZs_RP2[[APT_CODE]:[APT_CODE]],0))),"-")</f>
        <v>-</v>
      </c>
      <c r="F67" s="475" t="str">
        <f ca="1">IFERROR(IF(INDEX(Table_TCZs_RP2[2020_TARGET_APT],MATCH(LEFT(C67,4),Table_TCZs_RP2[[APT_CODE]:[APT_CODE]],0))="","-",INDEX(Table_TCZs_RP2[2020_TARGET_APT],MATCH(LEFT(C67,4),Table_TCZs_RP2[[APT_CODE]:[APT_CODE]],0))),"-")</f>
        <v>-</v>
      </c>
      <c r="G67" s="246"/>
      <c r="H67" s="246"/>
      <c r="I67" s="246"/>
      <c r="J67" s="246"/>
      <c r="K67" s="245"/>
      <c r="Q67" s="5">
        <v>57</v>
      </c>
    </row>
    <row r="68" spans="1:17" ht="15.75" hidden="1" customHeight="1" thickBot="1">
      <c r="A68" s="244"/>
      <c r="B68" s="909"/>
      <c r="C68" s="902" t="s">
        <v>39</v>
      </c>
      <c r="D68" s="654"/>
      <c r="E68" s="896"/>
      <c r="F68" s="897"/>
      <c r="G68" s="897"/>
      <c r="H68" s="897"/>
      <c r="I68" s="897"/>
      <c r="J68" s="898"/>
      <c r="K68" s="245"/>
      <c r="Q68" s="5">
        <v>58</v>
      </c>
    </row>
    <row r="69" spans="1:17" hidden="1">
      <c r="A69" s="244"/>
      <c r="B69" s="909"/>
      <c r="C69" s="899" t="str">
        <f ca="1">IF('Dynamic lists'!$C34=0,"",'Dynamic lists'!$C34)</f>
        <v/>
      </c>
      <c r="D69" s="900"/>
      <c r="E69" s="412" t="str">
        <f ca="1">IFERROR(IF(INDEX(Table_TCZs_RP2[2020_ACTUAL_PERF],MATCH(LEFT(C69,4),Table_TCZs_RP2[[APT_CODE]:[APT_CODE]],0))="","-",INDEX(Table_TCZs_RP2[2020_ACTUAL_PERF],MATCH(LEFT(C69,4),Table_TCZs_RP2[[APT_CODE]:[APT_CODE]],0))),"-")</f>
        <v>-</v>
      </c>
      <c r="F69" s="475" t="str">
        <f ca="1">IFERROR(IF(INDEX(Table_TCZs_RP2[2020_TARGET_APT],MATCH(LEFT(C69,4),Table_TCZs_RP2[[APT_CODE]:[APT_CODE]],0))="","-",INDEX(Table_TCZs_RP2[2020_TARGET_APT],MATCH(LEFT(C69,4),Table_TCZs_RP2[[APT_CODE]:[APT_CODE]],0))),"-")</f>
        <v>-</v>
      </c>
      <c r="G69" s="246"/>
      <c r="H69" s="246"/>
      <c r="I69" s="246"/>
      <c r="J69" s="246"/>
      <c r="K69" s="245"/>
      <c r="Q69" s="5">
        <v>59</v>
      </c>
    </row>
    <row r="70" spans="1:17" ht="15.75" hidden="1" customHeight="1" thickBot="1">
      <c r="A70" s="244"/>
      <c r="B70" s="909"/>
      <c r="C70" s="902" t="s">
        <v>39</v>
      </c>
      <c r="D70" s="654"/>
      <c r="E70" s="896"/>
      <c r="F70" s="897"/>
      <c r="G70" s="897"/>
      <c r="H70" s="897"/>
      <c r="I70" s="897"/>
      <c r="J70" s="898"/>
      <c r="K70" s="245"/>
      <c r="Q70" s="5">
        <v>60</v>
      </c>
    </row>
    <row r="71" spans="1:17" hidden="1">
      <c r="A71" s="244"/>
      <c r="B71" s="909"/>
      <c r="C71" s="899" t="str">
        <f ca="1">IF('Dynamic lists'!$C35=0,"",'Dynamic lists'!$C35)</f>
        <v/>
      </c>
      <c r="D71" s="900"/>
      <c r="E71" s="412" t="str">
        <f ca="1">IFERROR(IF(INDEX(Table_TCZs_RP2[2020_ACTUAL_PERF],MATCH(LEFT(C71,4),Table_TCZs_RP2[[APT_CODE]:[APT_CODE]],0))="","-",INDEX(Table_TCZs_RP2[2020_ACTUAL_PERF],MATCH(LEFT(C71,4),Table_TCZs_RP2[[APT_CODE]:[APT_CODE]],0))),"-")</f>
        <v>-</v>
      </c>
      <c r="F71" s="475" t="str">
        <f ca="1">IFERROR(IF(INDEX(Table_TCZs_RP2[2020_TARGET_APT],MATCH(LEFT(C71,4),Table_TCZs_RP2[[APT_CODE]:[APT_CODE]],0))="","-",INDEX(Table_TCZs_RP2[2020_TARGET_APT],MATCH(LEFT(C71,4),Table_TCZs_RP2[[APT_CODE]:[APT_CODE]],0))),"-")</f>
        <v>-</v>
      </c>
      <c r="G71" s="246"/>
      <c r="H71" s="246"/>
      <c r="I71" s="246"/>
      <c r="J71" s="246"/>
      <c r="K71" s="245"/>
      <c r="Q71" s="5">
        <v>61</v>
      </c>
    </row>
    <row r="72" spans="1:17" ht="15.75" hidden="1" customHeight="1" thickBot="1">
      <c r="A72" s="244"/>
      <c r="B72" s="909"/>
      <c r="C72" s="902" t="s">
        <v>39</v>
      </c>
      <c r="D72" s="654"/>
      <c r="E72" s="896"/>
      <c r="F72" s="897"/>
      <c r="G72" s="897"/>
      <c r="H72" s="897"/>
      <c r="I72" s="897"/>
      <c r="J72" s="898"/>
      <c r="K72" s="245"/>
      <c r="Q72" s="5">
        <v>62</v>
      </c>
    </row>
    <row r="73" spans="1:17" hidden="1">
      <c r="A73" s="244"/>
      <c r="B73" s="909"/>
      <c r="C73" s="899" t="str">
        <f ca="1">IF('Dynamic lists'!$C36=0,"",'Dynamic lists'!$C36)</f>
        <v/>
      </c>
      <c r="D73" s="900"/>
      <c r="E73" s="412" t="str">
        <f ca="1">IFERROR(IF(INDEX(Table_TCZs_RP2[2020_ACTUAL_PERF],MATCH(LEFT(C73,4),Table_TCZs_RP2[[APT_CODE]:[APT_CODE]],0))="","-",INDEX(Table_TCZs_RP2[2020_ACTUAL_PERF],MATCH(LEFT(C73,4),Table_TCZs_RP2[[APT_CODE]:[APT_CODE]],0))),"-")</f>
        <v>-</v>
      </c>
      <c r="F73" s="475" t="str">
        <f ca="1">IFERROR(IF(INDEX(Table_TCZs_RP2[2020_TARGET_APT],MATCH(LEFT(C73,4),Table_TCZs_RP2[[APT_CODE]:[APT_CODE]],0))="","-",INDEX(Table_TCZs_RP2[2020_TARGET_APT],MATCH(LEFT(C73,4),Table_TCZs_RP2[[APT_CODE]:[APT_CODE]],0))),"-")</f>
        <v>-</v>
      </c>
      <c r="G73" s="246"/>
      <c r="H73" s="246"/>
      <c r="I73" s="246"/>
      <c r="J73" s="246"/>
      <c r="K73" s="245"/>
      <c r="Q73" s="5">
        <v>63</v>
      </c>
    </row>
    <row r="74" spans="1:17" ht="15.75" hidden="1" customHeight="1" thickBot="1">
      <c r="A74" s="244"/>
      <c r="B74" s="909"/>
      <c r="C74" s="902" t="s">
        <v>39</v>
      </c>
      <c r="D74" s="654"/>
      <c r="E74" s="896"/>
      <c r="F74" s="897"/>
      <c r="G74" s="897"/>
      <c r="H74" s="897"/>
      <c r="I74" s="897"/>
      <c r="J74" s="898"/>
      <c r="K74" s="245"/>
      <c r="Q74" s="5">
        <v>64</v>
      </c>
    </row>
    <row r="75" spans="1:17" hidden="1">
      <c r="A75" s="244"/>
      <c r="B75" s="909"/>
      <c r="C75" s="899" t="str">
        <f ca="1">IF('Dynamic lists'!$C37=0,"",'Dynamic lists'!$C37)</f>
        <v/>
      </c>
      <c r="D75" s="900"/>
      <c r="E75" s="412" t="str">
        <f ca="1">IFERROR(IF(INDEX(Table_TCZs_RP2[2020_ACTUAL_PERF],MATCH(LEFT(C75,4),Table_TCZs_RP2[[APT_CODE]:[APT_CODE]],0))="","-",INDEX(Table_TCZs_RP2[2020_ACTUAL_PERF],MATCH(LEFT(C75,4),Table_TCZs_RP2[[APT_CODE]:[APT_CODE]],0))),"-")</f>
        <v>-</v>
      </c>
      <c r="F75" s="475" t="str">
        <f ca="1">IFERROR(IF(INDEX(Table_TCZs_RP2[2020_TARGET_APT],MATCH(LEFT(C75,4),Table_TCZs_RP2[[APT_CODE]:[APT_CODE]],0))="","-",INDEX(Table_TCZs_RP2[2020_TARGET_APT],MATCH(LEFT(C75,4),Table_TCZs_RP2[[APT_CODE]:[APT_CODE]],0))),"-")</f>
        <v>-</v>
      </c>
      <c r="G75" s="246"/>
      <c r="H75" s="246"/>
      <c r="I75" s="246"/>
      <c r="J75" s="246"/>
      <c r="K75" s="245"/>
      <c r="Q75" s="5">
        <v>65</v>
      </c>
    </row>
    <row r="76" spans="1:17" ht="15.75" hidden="1" customHeight="1" thickBot="1">
      <c r="A76" s="244"/>
      <c r="B76" s="909"/>
      <c r="C76" s="902" t="s">
        <v>39</v>
      </c>
      <c r="D76" s="654"/>
      <c r="E76" s="896"/>
      <c r="F76" s="897"/>
      <c r="G76" s="897"/>
      <c r="H76" s="897"/>
      <c r="I76" s="897"/>
      <c r="J76" s="898"/>
      <c r="K76" s="245"/>
      <c r="Q76" s="5">
        <v>66</v>
      </c>
    </row>
    <row r="77" spans="1:17" hidden="1">
      <c r="A77" s="244"/>
      <c r="B77" s="909"/>
      <c r="C77" s="899" t="str">
        <f ca="1">IF('Dynamic lists'!$C38=0,"",'Dynamic lists'!$C38)</f>
        <v/>
      </c>
      <c r="D77" s="900"/>
      <c r="E77" s="412" t="str">
        <f ca="1">IFERROR(IF(INDEX(Table_TCZs_RP2[2020_ACTUAL_PERF],MATCH(LEFT(C77,4),Table_TCZs_RP2[[APT_CODE]:[APT_CODE]],0))="","-",INDEX(Table_TCZs_RP2[2020_ACTUAL_PERF],MATCH(LEFT(C77,4),Table_TCZs_RP2[[APT_CODE]:[APT_CODE]],0))),"-")</f>
        <v>-</v>
      </c>
      <c r="F77" s="475" t="str">
        <f ca="1">IFERROR(IF(INDEX(Table_TCZs_RP2[2020_TARGET_APT],MATCH(LEFT(C77,4),Table_TCZs_RP2[[APT_CODE]:[APT_CODE]],0))="","-",INDEX(Table_TCZs_RP2[2020_TARGET_APT],MATCH(LEFT(C77,4),Table_TCZs_RP2[[APT_CODE]:[APT_CODE]],0))),"-")</f>
        <v>-</v>
      </c>
      <c r="G77" s="246"/>
      <c r="H77" s="246"/>
      <c r="I77" s="246"/>
      <c r="J77" s="246"/>
      <c r="K77" s="245"/>
      <c r="Q77" s="5">
        <v>67</v>
      </c>
    </row>
    <row r="78" spans="1:17" ht="15.75" hidden="1" customHeight="1" thickBot="1">
      <c r="A78" s="244"/>
      <c r="B78" s="909"/>
      <c r="C78" s="902" t="s">
        <v>39</v>
      </c>
      <c r="D78" s="654"/>
      <c r="E78" s="896"/>
      <c r="F78" s="897"/>
      <c r="G78" s="897"/>
      <c r="H78" s="897"/>
      <c r="I78" s="897"/>
      <c r="J78" s="898"/>
      <c r="K78" s="245"/>
      <c r="Q78" s="5">
        <v>68</v>
      </c>
    </row>
    <row r="79" spans="1:17" hidden="1">
      <c r="A79" s="244"/>
      <c r="B79" s="909"/>
      <c r="C79" s="899" t="str">
        <f ca="1">IF('Dynamic lists'!$C39=0,"",'Dynamic lists'!$C39)</f>
        <v/>
      </c>
      <c r="D79" s="900"/>
      <c r="E79" s="412" t="str">
        <f ca="1">IFERROR(IF(INDEX(Table_TCZs_RP2[2020_ACTUAL_PERF],MATCH(LEFT(C79,4),Table_TCZs_RP2[[APT_CODE]:[APT_CODE]],0))="","-",INDEX(Table_TCZs_RP2[2020_ACTUAL_PERF],MATCH(LEFT(C79,4),Table_TCZs_RP2[[APT_CODE]:[APT_CODE]],0))),"-")</f>
        <v>-</v>
      </c>
      <c r="F79" s="475" t="str">
        <f ca="1">IFERROR(IF(INDEX(Table_TCZs_RP2[2020_TARGET_APT],MATCH(LEFT(C79,4),Table_TCZs_RP2[[APT_CODE]:[APT_CODE]],0))="","-",INDEX(Table_TCZs_RP2[2020_TARGET_APT],MATCH(LEFT(C79,4),Table_TCZs_RP2[[APT_CODE]:[APT_CODE]],0))),"-")</f>
        <v>-</v>
      </c>
      <c r="G79" s="246"/>
      <c r="H79" s="246"/>
      <c r="I79" s="246"/>
      <c r="J79" s="246"/>
      <c r="K79" s="245"/>
      <c r="Q79" s="5">
        <v>69</v>
      </c>
    </row>
    <row r="80" spans="1:17" ht="15.75" hidden="1" customHeight="1" thickBot="1">
      <c r="A80" s="244"/>
      <c r="B80" s="909"/>
      <c r="C80" s="902" t="s">
        <v>39</v>
      </c>
      <c r="D80" s="654"/>
      <c r="E80" s="896"/>
      <c r="F80" s="897"/>
      <c r="G80" s="897"/>
      <c r="H80" s="897"/>
      <c r="I80" s="897"/>
      <c r="J80" s="898"/>
      <c r="K80" s="245"/>
      <c r="Q80" s="5">
        <v>70</v>
      </c>
    </row>
    <row r="81" spans="1:17" hidden="1">
      <c r="A81" s="244"/>
      <c r="B81" s="909"/>
      <c r="C81" s="899" t="str">
        <f ca="1">IF('Dynamic lists'!$C40=0,"",'Dynamic lists'!$C40)</f>
        <v/>
      </c>
      <c r="D81" s="900"/>
      <c r="E81" s="412" t="str">
        <f ca="1">IFERROR(IF(INDEX(Table_TCZs_RP2[2020_ACTUAL_PERF],MATCH(LEFT(C81,4),Table_TCZs_RP2[[APT_CODE]:[APT_CODE]],0))="","-",INDEX(Table_TCZs_RP2[2020_ACTUAL_PERF],MATCH(LEFT(C81,4),Table_TCZs_RP2[[APT_CODE]:[APT_CODE]],0))),"-")</f>
        <v>-</v>
      </c>
      <c r="F81" s="475" t="str">
        <f ca="1">IFERROR(IF(INDEX(Table_TCZs_RP2[2020_TARGET_APT],MATCH(LEFT(C81,4),Table_TCZs_RP2[[APT_CODE]:[APT_CODE]],0))="","-",INDEX(Table_TCZs_RP2[2020_TARGET_APT],MATCH(LEFT(C81,4),Table_TCZs_RP2[[APT_CODE]:[APT_CODE]],0))),"-")</f>
        <v>-</v>
      </c>
      <c r="G81" s="246"/>
      <c r="H81" s="246"/>
      <c r="I81" s="246"/>
      <c r="J81" s="246"/>
      <c r="K81" s="245"/>
      <c r="Q81" s="5">
        <v>71</v>
      </c>
    </row>
    <row r="82" spans="1:17" ht="15.75" hidden="1" customHeight="1" thickBot="1">
      <c r="A82" s="244"/>
      <c r="B82" s="909"/>
      <c r="C82" s="902" t="s">
        <v>39</v>
      </c>
      <c r="D82" s="654"/>
      <c r="E82" s="896"/>
      <c r="F82" s="897"/>
      <c r="G82" s="897"/>
      <c r="H82" s="897"/>
      <c r="I82" s="897"/>
      <c r="J82" s="898"/>
      <c r="K82" s="245"/>
      <c r="Q82" s="5">
        <v>72</v>
      </c>
    </row>
    <row r="83" spans="1:17" hidden="1">
      <c r="A83" s="244"/>
      <c r="B83" s="909"/>
      <c r="C83" s="899" t="str">
        <f ca="1">IF('Dynamic lists'!$C41=0,"",'Dynamic lists'!$C41)</f>
        <v/>
      </c>
      <c r="D83" s="900"/>
      <c r="E83" s="412" t="str">
        <f ca="1">IFERROR(IF(INDEX(Table_TCZs_RP2[2020_ACTUAL_PERF],MATCH(LEFT(C83,4),Table_TCZs_RP2[[APT_CODE]:[APT_CODE]],0))="","-",INDEX(Table_TCZs_RP2[2020_ACTUAL_PERF],MATCH(LEFT(C83,4),Table_TCZs_RP2[[APT_CODE]:[APT_CODE]],0))),"-")</f>
        <v>-</v>
      </c>
      <c r="F83" s="475" t="str">
        <f ca="1">IFERROR(IF(INDEX(Table_TCZs_RP2[2020_TARGET_APT],MATCH(LEFT(C83,4),Table_TCZs_RP2[[APT_CODE]:[APT_CODE]],0))="","-",INDEX(Table_TCZs_RP2[2020_TARGET_APT],MATCH(LEFT(C83,4),Table_TCZs_RP2[[APT_CODE]:[APT_CODE]],0))),"-")</f>
        <v>-</v>
      </c>
      <c r="G83" s="246"/>
      <c r="H83" s="246"/>
      <c r="I83" s="246"/>
      <c r="J83" s="246"/>
      <c r="K83" s="245"/>
      <c r="Q83" s="5">
        <v>73</v>
      </c>
    </row>
    <row r="84" spans="1:17" ht="15.75" hidden="1" customHeight="1" thickBot="1">
      <c r="A84" s="244"/>
      <c r="B84" s="909"/>
      <c r="C84" s="902" t="s">
        <v>39</v>
      </c>
      <c r="D84" s="654"/>
      <c r="E84" s="896"/>
      <c r="F84" s="897"/>
      <c r="G84" s="897"/>
      <c r="H84" s="897"/>
      <c r="I84" s="897"/>
      <c r="J84" s="898"/>
      <c r="K84" s="245"/>
      <c r="Q84" s="5">
        <v>74</v>
      </c>
    </row>
    <row r="85" spans="1:17" hidden="1">
      <c r="A85" s="244"/>
      <c r="B85" s="909"/>
      <c r="C85" s="899" t="str">
        <f ca="1">IF('Dynamic lists'!$C42=0,"",'Dynamic lists'!$C42)</f>
        <v/>
      </c>
      <c r="D85" s="900"/>
      <c r="E85" s="412" t="str">
        <f ca="1">IFERROR(IF(INDEX(Table_TCZs_RP2[2020_ACTUAL_PERF],MATCH(LEFT(C85,4),Table_TCZs_RP2[[APT_CODE]:[APT_CODE]],0))="","-",INDEX(Table_TCZs_RP2[2020_ACTUAL_PERF],MATCH(LEFT(C85,4),Table_TCZs_RP2[[APT_CODE]:[APT_CODE]],0))),"-")</f>
        <v>-</v>
      </c>
      <c r="F85" s="475" t="str">
        <f ca="1">IFERROR(IF(INDEX(Table_TCZs_RP2[2020_TARGET_APT],MATCH(LEFT(C85,4),Table_TCZs_RP2[[APT_CODE]:[APT_CODE]],0))="","-",INDEX(Table_TCZs_RP2[2020_TARGET_APT],MATCH(LEFT(C85,4),Table_TCZs_RP2[[APT_CODE]:[APT_CODE]],0))),"-")</f>
        <v>-</v>
      </c>
      <c r="G85" s="246"/>
      <c r="H85" s="246"/>
      <c r="I85" s="246"/>
      <c r="J85" s="246"/>
      <c r="K85" s="245"/>
      <c r="Q85" s="5">
        <v>75</v>
      </c>
    </row>
    <row r="86" spans="1:17" ht="15.75" hidden="1" customHeight="1" thickBot="1">
      <c r="A86" s="244"/>
      <c r="B86" s="909"/>
      <c r="C86" s="902" t="s">
        <v>39</v>
      </c>
      <c r="D86" s="654"/>
      <c r="E86" s="896"/>
      <c r="F86" s="897"/>
      <c r="G86" s="897"/>
      <c r="H86" s="897"/>
      <c r="I86" s="897"/>
      <c r="J86" s="898"/>
      <c r="K86" s="245"/>
      <c r="Q86" s="5">
        <v>76</v>
      </c>
    </row>
    <row r="87" spans="1:17" hidden="1">
      <c r="A87" s="244"/>
      <c r="B87" s="909"/>
      <c r="C87" s="899" t="str">
        <f ca="1">IF('Dynamic lists'!$C43=0,"",'Dynamic lists'!$C43)</f>
        <v/>
      </c>
      <c r="D87" s="900"/>
      <c r="E87" s="412" t="str">
        <f ca="1">IFERROR(IF(INDEX(Table_TCZs_RP2[2020_ACTUAL_PERF],MATCH(LEFT(C87,4),Table_TCZs_RP2[[APT_CODE]:[APT_CODE]],0))="","-",INDEX(Table_TCZs_RP2[2020_ACTUAL_PERF],MATCH(LEFT(C87,4),Table_TCZs_RP2[[APT_CODE]:[APT_CODE]],0))),"-")</f>
        <v>-</v>
      </c>
      <c r="F87" s="475" t="str">
        <f ca="1">IFERROR(IF(INDEX(Table_TCZs_RP2[2020_TARGET_APT],MATCH(LEFT(C87,4),Table_TCZs_RP2[[APT_CODE]:[APT_CODE]],0))="","-",INDEX(Table_TCZs_RP2[2020_TARGET_APT],MATCH(LEFT(C87,4),Table_TCZs_RP2[[APT_CODE]:[APT_CODE]],0))),"-")</f>
        <v>-</v>
      </c>
      <c r="G87" s="246"/>
      <c r="H87" s="246"/>
      <c r="I87" s="246"/>
      <c r="J87" s="246"/>
      <c r="K87" s="245"/>
      <c r="Q87" s="5">
        <v>77</v>
      </c>
    </row>
    <row r="88" spans="1:17" ht="15.75" hidden="1" customHeight="1" thickBot="1">
      <c r="A88" s="244"/>
      <c r="B88" s="909"/>
      <c r="C88" s="902" t="s">
        <v>39</v>
      </c>
      <c r="D88" s="654"/>
      <c r="E88" s="896"/>
      <c r="F88" s="897"/>
      <c r="G88" s="897"/>
      <c r="H88" s="897"/>
      <c r="I88" s="897"/>
      <c r="J88" s="898"/>
      <c r="K88" s="245"/>
      <c r="Q88" s="5">
        <v>78</v>
      </c>
    </row>
    <row r="89" spans="1:17" hidden="1">
      <c r="A89" s="244"/>
      <c r="B89" s="909"/>
      <c r="C89" s="899" t="str">
        <f ca="1">IF('Dynamic lists'!$C44=0,"",'Dynamic lists'!$C44)</f>
        <v/>
      </c>
      <c r="D89" s="900"/>
      <c r="E89" s="412" t="str">
        <f ca="1">IFERROR(IF(INDEX(Table_TCZs_RP2[2020_ACTUAL_PERF],MATCH(LEFT(C89,4),Table_TCZs_RP2[[APT_CODE]:[APT_CODE]],0))="","-",INDEX(Table_TCZs_RP2[2020_ACTUAL_PERF],MATCH(LEFT(C89,4),Table_TCZs_RP2[[APT_CODE]:[APT_CODE]],0))),"-")</f>
        <v>-</v>
      </c>
      <c r="F89" s="475" t="str">
        <f ca="1">IFERROR(IF(INDEX(Table_TCZs_RP2[2020_TARGET_APT],MATCH(LEFT(C89,4),Table_TCZs_RP2[[APT_CODE]:[APT_CODE]],0))="","-",INDEX(Table_TCZs_RP2[2020_TARGET_APT],MATCH(LEFT(C89,4),Table_TCZs_RP2[[APT_CODE]:[APT_CODE]],0))),"-")</f>
        <v>-</v>
      </c>
      <c r="G89" s="246"/>
      <c r="H89" s="246"/>
      <c r="I89" s="246"/>
      <c r="J89" s="246"/>
      <c r="K89" s="245"/>
      <c r="Q89" s="5">
        <v>79</v>
      </c>
    </row>
    <row r="90" spans="1:17" ht="15.75" hidden="1" customHeight="1" thickBot="1">
      <c r="A90" s="244"/>
      <c r="B90" s="909"/>
      <c r="C90" s="902" t="s">
        <v>39</v>
      </c>
      <c r="D90" s="654"/>
      <c r="E90" s="896"/>
      <c r="F90" s="897"/>
      <c r="G90" s="897"/>
      <c r="H90" s="897"/>
      <c r="I90" s="897"/>
      <c r="J90" s="898"/>
      <c r="K90" s="245"/>
      <c r="Q90" s="5">
        <v>80</v>
      </c>
    </row>
    <row r="91" spans="1:17" hidden="1">
      <c r="A91" s="244"/>
      <c r="B91" s="909"/>
      <c r="C91" s="899" t="str">
        <f ca="1">IF('Dynamic lists'!$C45=0,"",'Dynamic lists'!$C45)</f>
        <v/>
      </c>
      <c r="D91" s="900"/>
      <c r="E91" s="412" t="str">
        <f ca="1">IFERROR(IF(INDEX(Table_TCZs_RP2[2020_ACTUAL_PERF],MATCH(LEFT(C91,4),Table_TCZs_RP2[[APT_CODE]:[APT_CODE]],0))="","-",INDEX(Table_TCZs_RP2[2020_ACTUAL_PERF],MATCH(LEFT(C91,4),Table_TCZs_RP2[[APT_CODE]:[APT_CODE]],0))),"-")</f>
        <v>-</v>
      </c>
      <c r="F91" s="475" t="str">
        <f ca="1">IFERROR(IF(INDEX(Table_TCZs_RP2[2020_TARGET_APT],MATCH(LEFT(C91,4),Table_TCZs_RP2[[APT_CODE]:[APT_CODE]],0))="","-",INDEX(Table_TCZs_RP2[2020_TARGET_APT],MATCH(LEFT(C91,4),Table_TCZs_RP2[[APT_CODE]:[APT_CODE]],0))),"-")</f>
        <v>-</v>
      </c>
      <c r="G91" s="246"/>
      <c r="H91" s="246"/>
      <c r="I91" s="246"/>
      <c r="J91" s="246"/>
      <c r="K91" s="245"/>
      <c r="Q91" s="5">
        <v>81</v>
      </c>
    </row>
    <row r="92" spans="1:17" ht="15.75" hidden="1" customHeight="1" thickBot="1">
      <c r="A92" s="244"/>
      <c r="B92" s="909"/>
      <c r="C92" s="902" t="s">
        <v>39</v>
      </c>
      <c r="D92" s="654"/>
      <c r="E92" s="896"/>
      <c r="F92" s="897"/>
      <c r="G92" s="897"/>
      <c r="H92" s="897"/>
      <c r="I92" s="897"/>
      <c r="J92" s="898"/>
      <c r="K92" s="245"/>
      <c r="Q92" s="5">
        <v>82</v>
      </c>
    </row>
    <row r="93" spans="1:17" hidden="1">
      <c r="A93" s="244"/>
      <c r="B93" s="909"/>
      <c r="C93" s="899" t="str">
        <f ca="1">IF('Dynamic lists'!$C46=0,"",'Dynamic lists'!$C46)</f>
        <v/>
      </c>
      <c r="D93" s="900"/>
      <c r="E93" s="412" t="str">
        <f ca="1">IFERROR(IF(INDEX(Table_TCZs_RP2[2020_ACTUAL_PERF],MATCH(LEFT(C93,4),Table_TCZs_RP2[[APT_CODE]:[APT_CODE]],0))="","-",INDEX(Table_TCZs_RP2[2020_ACTUAL_PERF],MATCH(LEFT(C93,4),Table_TCZs_RP2[[APT_CODE]:[APT_CODE]],0))),"-")</f>
        <v>-</v>
      </c>
      <c r="F93" s="475" t="str">
        <f ca="1">IFERROR(IF(INDEX(Table_TCZs_RP2[2020_TARGET_APT],MATCH(LEFT(C93,4),Table_TCZs_RP2[[APT_CODE]:[APT_CODE]],0))="","-",INDEX(Table_TCZs_RP2[2020_TARGET_APT],MATCH(LEFT(C93,4),Table_TCZs_RP2[[APT_CODE]:[APT_CODE]],0))),"-")</f>
        <v>-</v>
      </c>
      <c r="G93" s="246"/>
      <c r="H93" s="246"/>
      <c r="I93" s="246"/>
      <c r="J93" s="246"/>
      <c r="K93" s="245"/>
      <c r="Q93" s="5">
        <v>83</v>
      </c>
    </row>
    <row r="94" spans="1:17" ht="15.75" hidden="1" customHeight="1" thickBot="1">
      <c r="A94" s="244"/>
      <c r="B94" s="909"/>
      <c r="C94" s="902" t="s">
        <v>39</v>
      </c>
      <c r="D94" s="654"/>
      <c r="E94" s="896"/>
      <c r="F94" s="897"/>
      <c r="G94" s="897"/>
      <c r="H94" s="897"/>
      <c r="I94" s="897"/>
      <c r="J94" s="898"/>
      <c r="K94" s="245"/>
      <c r="Q94" s="5">
        <v>84</v>
      </c>
    </row>
    <row r="95" spans="1:17" hidden="1">
      <c r="A95" s="244"/>
      <c r="B95" s="909"/>
      <c r="C95" s="899" t="str">
        <f ca="1">IF('Dynamic lists'!$C47=0,"",'Dynamic lists'!$C47)</f>
        <v/>
      </c>
      <c r="D95" s="900"/>
      <c r="E95" s="412" t="str">
        <f ca="1">IFERROR(IF(INDEX(Table_TCZs_RP2[2020_ACTUAL_PERF],MATCH(LEFT(C95,4),Table_TCZs_RP2[[APT_CODE]:[APT_CODE]],0))="","-",INDEX(Table_TCZs_RP2[2020_ACTUAL_PERF],MATCH(LEFT(C95,4),Table_TCZs_RP2[[APT_CODE]:[APT_CODE]],0))),"-")</f>
        <v>-</v>
      </c>
      <c r="F95" s="475" t="str">
        <f ca="1">IFERROR(IF(INDEX(Table_TCZs_RP2[2020_TARGET_APT],MATCH(LEFT(C95,4),Table_TCZs_RP2[[APT_CODE]:[APT_CODE]],0))="","-",INDEX(Table_TCZs_RP2[2020_TARGET_APT],MATCH(LEFT(C95,4),Table_TCZs_RP2[[APT_CODE]:[APT_CODE]],0))),"-")</f>
        <v>-</v>
      </c>
      <c r="G95" s="246"/>
      <c r="H95" s="246"/>
      <c r="I95" s="246"/>
      <c r="J95" s="246"/>
      <c r="K95" s="245"/>
      <c r="Q95" s="5">
        <v>85</v>
      </c>
    </row>
    <row r="96" spans="1:17" ht="15.75" hidden="1" customHeight="1" thickBot="1">
      <c r="A96" s="244"/>
      <c r="B96" s="909"/>
      <c r="C96" s="902" t="s">
        <v>39</v>
      </c>
      <c r="D96" s="654"/>
      <c r="E96" s="896"/>
      <c r="F96" s="897"/>
      <c r="G96" s="897"/>
      <c r="H96" s="897"/>
      <c r="I96" s="897"/>
      <c r="J96" s="898"/>
      <c r="K96" s="245"/>
      <c r="Q96" s="5">
        <v>86</v>
      </c>
    </row>
    <row r="97" spans="1:17" hidden="1">
      <c r="A97" s="244"/>
      <c r="B97" s="909"/>
      <c r="C97" s="899" t="str">
        <f ca="1">IF('Dynamic lists'!$C48=0,"",'Dynamic lists'!$C48)</f>
        <v/>
      </c>
      <c r="D97" s="900"/>
      <c r="E97" s="412" t="str">
        <f ca="1">IFERROR(IF(INDEX(Table_TCZs_RP2[2020_ACTUAL_PERF],MATCH(LEFT(C97,4),Table_TCZs_RP2[[APT_CODE]:[APT_CODE]],0))="","-",INDEX(Table_TCZs_RP2[2020_ACTUAL_PERF],MATCH(LEFT(C97,4),Table_TCZs_RP2[[APT_CODE]:[APT_CODE]],0))),"-")</f>
        <v>-</v>
      </c>
      <c r="F97" s="475" t="str">
        <f ca="1">IFERROR(IF(INDEX(Table_TCZs_RP2[2020_TARGET_APT],MATCH(LEFT(C97,4),Table_TCZs_RP2[[APT_CODE]:[APT_CODE]],0))="","-",INDEX(Table_TCZs_RP2[2020_TARGET_APT],MATCH(LEFT(C97,4),Table_TCZs_RP2[[APT_CODE]:[APT_CODE]],0))),"-")</f>
        <v>-</v>
      </c>
      <c r="G97" s="246"/>
      <c r="H97" s="246"/>
      <c r="I97" s="246"/>
      <c r="J97" s="246"/>
      <c r="K97" s="245"/>
      <c r="Q97" s="5">
        <v>87</v>
      </c>
    </row>
    <row r="98" spans="1:17" ht="15.75" hidden="1" customHeight="1" thickBot="1">
      <c r="A98" s="244"/>
      <c r="B98" s="909"/>
      <c r="C98" s="902" t="s">
        <v>39</v>
      </c>
      <c r="D98" s="654"/>
      <c r="E98" s="896"/>
      <c r="F98" s="897"/>
      <c r="G98" s="897"/>
      <c r="H98" s="897"/>
      <c r="I98" s="897"/>
      <c r="J98" s="898"/>
      <c r="K98" s="245"/>
      <c r="Q98" s="5">
        <v>88</v>
      </c>
    </row>
    <row r="99" spans="1:17" hidden="1">
      <c r="A99" s="244"/>
      <c r="B99" s="909"/>
      <c r="C99" s="899" t="str">
        <f ca="1">IF('Dynamic lists'!$C49=0,"",'Dynamic lists'!$C49)</f>
        <v/>
      </c>
      <c r="D99" s="900"/>
      <c r="E99" s="412" t="str">
        <f ca="1">IFERROR(IF(INDEX(Table_TCZs_RP2[2020_ACTUAL_PERF],MATCH(LEFT(C99,4),Table_TCZs_RP2[[APT_CODE]:[APT_CODE]],0))="","-",INDEX(Table_TCZs_RP2[2020_ACTUAL_PERF],MATCH(LEFT(C99,4),Table_TCZs_RP2[[APT_CODE]:[APT_CODE]],0))),"-")</f>
        <v>-</v>
      </c>
      <c r="F99" s="475" t="str">
        <f ca="1">IFERROR(IF(INDEX(Table_TCZs_RP2[2020_TARGET_APT],MATCH(LEFT(C99,4),Table_TCZs_RP2[[APT_CODE]:[APT_CODE]],0))="","-",INDEX(Table_TCZs_RP2[2020_TARGET_APT],MATCH(LEFT(C99,4),Table_TCZs_RP2[[APT_CODE]:[APT_CODE]],0))),"-")</f>
        <v>-</v>
      </c>
      <c r="G99" s="246"/>
      <c r="H99" s="246"/>
      <c r="I99" s="246"/>
      <c r="J99" s="246"/>
      <c r="K99" s="245"/>
      <c r="Q99" s="5">
        <v>89</v>
      </c>
    </row>
    <row r="100" spans="1:17" ht="15.75" hidden="1" customHeight="1" thickBot="1">
      <c r="A100" s="244"/>
      <c r="B100" s="909"/>
      <c r="C100" s="902" t="s">
        <v>39</v>
      </c>
      <c r="D100" s="654"/>
      <c r="E100" s="896"/>
      <c r="F100" s="897"/>
      <c r="G100" s="897"/>
      <c r="H100" s="897"/>
      <c r="I100" s="897"/>
      <c r="J100" s="898"/>
      <c r="K100" s="245"/>
      <c r="Q100" s="5">
        <v>90</v>
      </c>
    </row>
    <row r="101" spans="1:17" hidden="1">
      <c r="A101" s="244"/>
      <c r="B101" s="909"/>
      <c r="C101" s="899" t="str">
        <f ca="1">IF('Dynamic lists'!$C50=0,"",'Dynamic lists'!$C50)</f>
        <v/>
      </c>
      <c r="D101" s="900"/>
      <c r="E101" s="412" t="str">
        <f ca="1">IFERROR(IF(INDEX(Table_TCZs_RP2[2020_ACTUAL_PERF],MATCH(LEFT(C101,4),Table_TCZs_RP2[[APT_CODE]:[APT_CODE]],0))="","-",INDEX(Table_TCZs_RP2[2020_ACTUAL_PERF],MATCH(LEFT(C101,4),Table_TCZs_RP2[[APT_CODE]:[APT_CODE]],0))),"-")</f>
        <v>-</v>
      </c>
      <c r="F101" s="475" t="str">
        <f ca="1">IFERROR(IF(INDEX(Table_TCZs_RP2[2020_TARGET_APT],MATCH(LEFT(C101,4),Table_TCZs_RP2[[APT_CODE]:[APT_CODE]],0))="","-",INDEX(Table_TCZs_RP2[2020_TARGET_APT],MATCH(LEFT(C101,4),Table_TCZs_RP2[[APT_CODE]:[APT_CODE]],0))),"-")</f>
        <v>-</v>
      </c>
      <c r="G101" s="246"/>
      <c r="H101" s="246"/>
      <c r="I101" s="246"/>
      <c r="J101" s="246"/>
      <c r="K101" s="245"/>
      <c r="Q101" s="5">
        <v>91</v>
      </c>
    </row>
    <row r="102" spans="1:17" ht="15.75" hidden="1" customHeight="1" thickBot="1">
      <c r="A102" s="244"/>
      <c r="B102" s="909"/>
      <c r="C102" s="902" t="s">
        <v>39</v>
      </c>
      <c r="D102" s="654"/>
      <c r="E102" s="896"/>
      <c r="F102" s="897"/>
      <c r="G102" s="897"/>
      <c r="H102" s="897"/>
      <c r="I102" s="897"/>
      <c r="J102" s="898"/>
      <c r="K102" s="245"/>
      <c r="Q102" s="5">
        <v>92</v>
      </c>
    </row>
    <row r="103" spans="1:17" hidden="1">
      <c r="A103" s="244"/>
      <c r="B103" s="909"/>
      <c r="C103" s="899" t="str">
        <f ca="1">IF('Dynamic lists'!$C51=0,"",'Dynamic lists'!$C51)</f>
        <v/>
      </c>
      <c r="D103" s="900"/>
      <c r="E103" s="412" t="str">
        <f ca="1">IFERROR(IF(INDEX(Table_TCZs_RP2[2020_ACTUAL_PERF],MATCH(LEFT(C103,4),Table_TCZs_RP2[[APT_CODE]:[APT_CODE]],0))="","-",INDEX(Table_TCZs_RP2[2020_ACTUAL_PERF],MATCH(LEFT(C103,4),Table_TCZs_RP2[[APT_CODE]:[APT_CODE]],0))),"-")</f>
        <v>-</v>
      </c>
      <c r="F103" s="475" t="str">
        <f ca="1">IFERROR(IF(INDEX(Table_TCZs_RP2[2020_TARGET_APT],MATCH(LEFT(C103,4),Table_TCZs_RP2[[APT_CODE]:[APT_CODE]],0))="","-",INDEX(Table_TCZs_RP2[2020_TARGET_APT],MATCH(LEFT(C103,4),Table_TCZs_RP2[[APT_CODE]:[APT_CODE]],0))),"-")</f>
        <v>-</v>
      </c>
      <c r="G103" s="246"/>
      <c r="H103" s="246"/>
      <c r="I103" s="246"/>
      <c r="J103" s="246"/>
      <c r="K103" s="245"/>
      <c r="Q103" s="5">
        <v>93</v>
      </c>
    </row>
    <row r="104" spans="1:17" ht="15.75" hidden="1" customHeight="1" thickBot="1">
      <c r="A104" s="244"/>
      <c r="B104" s="909"/>
      <c r="C104" s="902" t="s">
        <v>39</v>
      </c>
      <c r="D104" s="654"/>
      <c r="E104" s="896"/>
      <c r="F104" s="897"/>
      <c r="G104" s="897"/>
      <c r="H104" s="897"/>
      <c r="I104" s="897"/>
      <c r="J104" s="898"/>
      <c r="K104" s="245"/>
      <c r="Q104" s="5">
        <v>94</v>
      </c>
    </row>
    <row r="105" spans="1:17" hidden="1">
      <c r="A105" s="244"/>
      <c r="B105" s="909"/>
      <c r="C105" s="899" t="str">
        <f ca="1">IF('Dynamic lists'!$C52=0,"",'Dynamic lists'!$C52)</f>
        <v/>
      </c>
      <c r="D105" s="900"/>
      <c r="E105" s="412" t="str">
        <f ca="1">IFERROR(IF(INDEX(Table_TCZs_RP2[2020_ACTUAL_PERF],MATCH(LEFT(C105,4),Table_TCZs_RP2[[APT_CODE]:[APT_CODE]],0))="","-",INDEX(Table_TCZs_RP2[2020_ACTUAL_PERF],MATCH(LEFT(C105,4),Table_TCZs_RP2[[APT_CODE]:[APT_CODE]],0))),"-")</f>
        <v>-</v>
      </c>
      <c r="F105" s="475" t="str">
        <f ca="1">IFERROR(IF(INDEX(Table_TCZs_RP2[2020_TARGET_APT],MATCH(LEFT(C105,4),Table_TCZs_RP2[[APT_CODE]:[APT_CODE]],0))="","-",INDEX(Table_TCZs_RP2[2020_TARGET_APT],MATCH(LEFT(C105,4),Table_TCZs_RP2[[APT_CODE]:[APT_CODE]],0))),"-")</f>
        <v>-</v>
      </c>
      <c r="G105" s="246"/>
      <c r="H105" s="246"/>
      <c r="I105" s="246"/>
      <c r="J105" s="246"/>
      <c r="K105" s="245"/>
      <c r="Q105" s="5">
        <v>95</v>
      </c>
    </row>
    <row r="106" spans="1:17" ht="15.75" hidden="1" customHeight="1" thickBot="1">
      <c r="A106" s="244"/>
      <c r="B106" s="909"/>
      <c r="C106" s="902" t="s">
        <v>39</v>
      </c>
      <c r="D106" s="654"/>
      <c r="E106" s="896"/>
      <c r="F106" s="897"/>
      <c r="G106" s="897"/>
      <c r="H106" s="897"/>
      <c r="I106" s="897"/>
      <c r="J106" s="898"/>
      <c r="K106" s="245"/>
      <c r="Q106" s="5">
        <v>96</v>
      </c>
    </row>
    <row r="107" spans="1:17" hidden="1">
      <c r="A107" s="244"/>
      <c r="B107" s="909"/>
      <c r="C107" s="899" t="str">
        <f ca="1">IF('Dynamic lists'!$C53=0,"",'Dynamic lists'!$C53)</f>
        <v/>
      </c>
      <c r="D107" s="900"/>
      <c r="E107" s="412" t="str">
        <f ca="1">IFERROR(IF(INDEX(Table_TCZs_RP2[2020_ACTUAL_PERF],MATCH(LEFT(C107,4),Table_TCZs_RP2[[APT_CODE]:[APT_CODE]],0))="","-",INDEX(Table_TCZs_RP2[2020_ACTUAL_PERF],MATCH(LEFT(C107,4),Table_TCZs_RP2[[APT_CODE]:[APT_CODE]],0))),"-")</f>
        <v>-</v>
      </c>
      <c r="F107" s="475" t="str">
        <f ca="1">IFERROR(IF(INDEX(Table_TCZs_RP2[2020_TARGET_APT],MATCH(LEFT(C107,4),Table_TCZs_RP2[[APT_CODE]:[APT_CODE]],0))="","-",INDEX(Table_TCZs_RP2[2020_TARGET_APT],MATCH(LEFT(C107,4),Table_TCZs_RP2[[APT_CODE]:[APT_CODE]],0))),"-")</f>
        <v>-</v>
      </c>
      <c r="G107" s="246"/>
      <c r="H107" s="246"/>
      <c r="I107" s="246"/>
      <c r="J107" s="246"/>
      <c r="K107" s="245"/>
      <c r="Q107" s="5">
        <v>97</v>
      </c>
    </row>
    <row r="108" spans="1:17" ht="15.75" hidden="1" customHeight="1" thickBot="1">
      <c r="A108" s="244"/>
      <c r="B108" s="909"/>
      <c r="C108" s="902" t="s">
        <v>39</v>
      </c>
      <c r="D108" s="654"/>
      <c r="E108" s="896"/>
      <c r="F108" s="897"/>
      <c r="G108" s="897"/>
      <c r="H108" s="897"/>
      <c r="I108" s="897"/>
      <c r="J108" s="898"/>
      <c r="K108" s="245"/>
      <c r="Q108" s="5">
        <v>98</v>
      </c>
    </row>
    <row r="109" spans="1:17" hidden="1">
      <c r="A109" s="244"/>
      <c r="B109" s="909"/>
      <c r="C109" s="899" t="str">
        <f ca="1">IF('Dynamic lists'!$C54=0,"",'Dynamic lists'!$C54)</f>
        <v/>
      </c>
      <c r="D109" s="900"/>
      <c r="E109" s="412" t="str">
        <f ca="1">IFERROR(IF(INDEX(Table_TCZs_RP2[2020_ACTUAL_PERF],MATCH(LEFT(C109,4),Table_TCZs_RP2[[APT_CODE]:[APT_CODE]],0))="","-",INDEX(Table_TCZs_RP2[2020_ACTUAL_PERF],MATCH(LEFT(C109,4),Table_TCZs_RP2[[APT_CODE]:[APT_CODE]],0))),"-")</f>
        <v>-</v>
      </c>
      <c r="F109" s="475" t="str">
        <f ca="1">IFERROR(IF(INDEX(Table_TCZs_RP2[2020_TARGET_APT],MATCH(LEFT(C109,4),Table_TCZs_RP2[[APT_CODE]:[APT_CODE]],0))="","-",INDEX(Table_TCZs_RP2[2020_TARGET_APT],MATCH(LEFT(C109,4),Table_TCZs_RP2[[APT_CODE]:[APT_CODE]],0))),"-")</f>
        <v>-</v>
      </c>
      <c r="G109" s="246"/>
      <c r="H109" s="246"/>
      <c r="I109" s="246"/>
      <c r="J109" s="246"/>
      <c r="K109" s="245"/>
      <c r="Q109" s="5">
        <v>99</v>
      </c>
    </row>
    <row r="110" spans="1:17" ht="15.75" hidden="1" customHeight="1" thickBot="1">
      <c r="A110" s="244"/>
      <c r="B110" s="909"/>
      <c r="C110" s="902" t="s">
        <v>39</v>
      </c>
      <c r="D110" s="654"/>
      <c r="E110" s="896"/>
      <c r="F110" s="897"/>
      <c r="G110" s="897"/>
      <c r="H110" s="897"/>
      <c r="I110" s="897"/>
      <c r="J110" s="898"/>
      <c r="K110" s="245"/>
      <c r="Q110" s="5">
        <v>100</v>
      </c>
    </row>
    <row r="111" spans="1:17" hidden="1">
      <c r="A111" s="244"/>
      <c r="B111" s="909"/>
      <c r="C111" s="899" t="str">
        <f ca="1">IF('Dynamic lists'!$C55=0,"",'Dynamic lists'!$C55)</f>
        <v/>
      </c>
      <c r="D111" s="900"/>
      <c r="E111" s="412" t="str">
        <f ca="1">IFERROR(IF(INDEX(Table_TCZs_RP2[2020_ACTUAL_PERF],MATCH(LEFT(C111,4),Table_TCZs_RP2[[APT_CODE]:[APT_CODE]],0))="","-",INDEX(Table_TCZs_RP2[2020_ACTUAL_PERF],MATCH(LEFT(C111,4),Table_TCZs_RP2[[APT_CODE]:[APT_CODE]],0))),"-")</f>
        <v>-</v>
      </c>
      <c r="F111" s="475" t="str">
        <f ca="1">IFERROR(IF(INDEX(Table_TCZs_RP2[2020_TARGET_APT],MATCH(LEFT(C111,4),Table_TCZs_RP2[[APT_CODE]:[APT_CODE]],0))="","-",INDEX(Table_TCZs_RP2[2020_TARGET_APT],MATCH(LEFT(C111,4),Table_TCZs_RP2[[APT_CODE]:[APT_CODE]],0))),"-")</f>
        <v>-</v>
      </c>
      <c r="G111" s="246"/>
      <c r="H111" s="246"/>
      <c r="I111" s="246"/>
      <c r="J111" s="246"/>
      <c r="K111" s="245"/>
    </row>
    <row r="112" spans="1:17" ht="15.75" hidden="1" customHeight="1" thickBot="1">
      <c r="A112" s="244"/>
      <c r="B112" s="909"/>
      <c r="C112" s="902" t="s">
        <v>39</v>
      </c>
      <c r="D112" s="654"/>
      <c r="E112" s="896"/>
      <c r="F112" s="897"/>
      <c r="G112" s="897"/>
      <c r="H112" s="897"/>
      <c r="I112" s="897"/>
      <c r="J112" s="898"/>
      <c r="K112" s="245"/>
    </row>
    <row r="113" spans="1:11" hidden="1">
      <c r="A113" s="244"/>
      <c r="B113" s="909"/>
      <c r="C113" s="899" t="str">
        <f ca="1">IF('Dynamic lists'!$C56=0,"",'Dynamic lists'!$C56)</f>
        <v/>
      </c>
      <c r="D113" s="900"/>
      <c r="E113" s="412" t="str">
        <f ca="1">IFERROR(IF(INDEX(Table_TCZs_RP2[2020_ACTUAL_PERF],MATCH(LEFT(C113,4),Table_TCZs_RP2[[APT_CODE]:[APT_CODE]],0))="","-",INDEX(Table_TCZs_RP2[2020_ACTUAL_PERF],MATCH(LEFT(C113,4),Table_TCZs_RP2[[APT_CODE]:[APT_CODE]],0))),"-")</f>
        <v>-</v>
      </c>
      <c r="F113" s="475" t="str">
        <f ca="1">IFERROR(IF(INDEX(Table_TCZs_RP2[2020_TARGET_APT],MATCH(LEFT(C113,4),Table_TCZs_RP2[[APT_CODE]:[APT_CODE]],0))="","-",INDEX(Table_TCZs_RP2[2020_TARGET_APT],MATCH(LEFT(C113,4),Table_TCZs_RP2[[APT_CODE]:[APT_CODE]],0))),"-")</f>
        <v>-</v>
      </c>
      <c r="G113" s="246"/>
      <c r="H113" s="246"/>
      <c r="I113" s="246"/>
      <c r="J113" s="246"/>
      <c r="K113" s="245"/>
    </row>
    <row r="114" spans="1:11" ht="15.75" hidden="1" customHeight="1" thickBot="1">
      <c r="A114" s="244"/>
      <c r="B114" s="909"/>
      <c r="C114" s="902" t="s">
        <v>39</v>
      </c>
      <c r="D114" s="654"/>
      <c r="E114" s="896"/>
      <c r="F114" s="897"/>
      <c r="G114" s="897"/>
      <c r="H114" s="897"/>
      <c r="I114" s="897"/>
      <c r="J114" s="898"/>
      <c r="K114" s="245"/>
    </row>
    <row r="115" spans="1:11" hidden="1">
      <c r="A115" s="244"/>
      <c r="B115" s="909"/>
      <c r="C115" s="899" t="str">
        <f ca="1">IF('Dynamic lists'!$C57=0,"",'Dynamic lists'!$C57)</f>
        <v/>
      </c>
      <c r="D115" s="900"/>
      <c r="E115" s="412" t="str">
        <f ca="1">IFERROR(IF(INDEX(Table_TCZs_RP2[2020_ACTUAL_PERF],MATCH(LEFT(C115,4),Table_TCZs_RP2[[APT_CODE]:[APT_CODE]],0))="","-",INDEX(Table_TCZs_RP2[2020_ACTUAL_PERF],MATCH(LEFT(C115,4),Table_TCZs_RP2[[APT_CODE]:[APT_CODE]],0))),"-")</f>
        <v>-</v>
      </c>
      <c r="F115" s="475" t="str">
        <f ca="1">IFERROR(IF(INDEX(Table_TCZs_RP2[2020_TARGET_APT],MATCH(LEFT(C115,4),Table_TCZs_RP2[[APT_CODE]:[APT_CODE]],0))="","-",INDEX(Table_TCZs_RP2[2020_TARGET_APT],MATCH(LEFT(C115,4),Table_TCZs_RP2[[APT_CODE]:[APT_CODE]],0))),"-")</f>
        <v>-</v>
      </c>
      <c r="G115" s="246"/>
      <c r="H115" s="246"/>
      <c r="I115" s="246"/>
      <c r="J115" s="246"/>
      <c r="K115" s="245"/>
    </row>
    <row r="116" spans="1:11" ht="15.75" hidden="1" customHeight="1" thickBot="1">
      <c r="A116" s="244"/>
      <c r="B116" s="909"/>
      <c r="C116" s="902" t="s">
        <v>39</v>
      </c>
      <c r="D116" s="654"/>
      <c r="E116" s="896"/>
      <c r="F116" s="897"/>
      <c r="G116" s="897"/>
      <c r="H116" s="897"/>
      <c r="I116" s="897"/>
      <c r="J116" s="898"/>
      <c r="K116" s="245"/>
    </row>
    <row r="117" spans="1:11" hidden="1">
      <c r="A117" s="244"/>
      <c r="B117" s="909"/>
      <c r="C117" s="899" t="str">
        <f ca="1">IF('Dynamic lists'!$C58=0,"",'Dynamic lists'!$C58)</f>
        <v/>
      </c>
      <c r="D117" s="900"/>
      <c r="E117" s="412" t="str">
        <f ca="1">IFERROR(IF(INDEX(Table_TCZs_RP2[2020_ACTUAL_PERF],MATCH(LEFT(C117,4),Table_TCZs_RP2[[APT_CODE]:[APT_CODE]],0))="","-",INDEX(Table_TCZs_RP2[2020_ACTUAL_PERF],MATCH(LEFT(C117,4),Table_TCZs_RP2[[APT_CODE]:[APT_CODE]],0))),"-")</f>
        <v>-</v>
      </c>
      <c r="F117" s="475" t="str">
        <f ca="1">IFERROR(IF(INDEX(Table_TCZs_RP2[2020_TARGET_APT],MATCH(LEFT(C117,4),Table_TCZs_RP2[[APT_CODE]:[APT_CODE]],0))="","-",INDEX(Table_TCZs_RP2[2020_TARGET_APT],MATCH(LEFT(C117,4),Table_TCZs_RP2[[APT_CODE]:[APT_CODE]],0))),"-")</f>
        <v>-</v>
      </c>
      <c r="G117" s="246"/>
      <c r="H117" s="246"/>
      <c r="I117" s="246"/>
      <c r="J117" s="246"/>
      <c r="K117" s="245"/>
    </row>
    <row r="118" spans="1:11" ht="15.75" hidden="1" customHeight="1" thickBot="1">
      <c r="A118" s="244"/>
      <c r="B118" s="909"/>
      <c r="C118" s="902" t="s">
        <v>39</v>
      </c>
      <c r="D118" s="654"/>
      <c r="E118" s="896"/>
      <c r="F118" s="897"/>
      <c r="G118" s="897"/>
      <c r="H118" s="897"/>
      <c r="I118" s="897"/>
      <c r="J118" s="898"/>
      <c r="K118" s="245"/>
    </row>
    <row r="119" spans="1:11" hidden="1">
      <c r="A119" s="244"/>
      <c r="B119" s="909"/>
      <c r="C119" s="899" t="str">
        <f ca="1">IF('Dynamic lists'!$C59=0,"",'Dynamic lists'!$C59)</f>
        <v/>
      </c>
      <c r="D119" s="900"/>
      <c r="E119" s="412" t="str">
        <f ca="1">IFERROR(IF(INDEX(Table_TCZs_RP2[2020_ACTUAL_PERF],MATCH(LEFT(C119,4),Table_TCZs_RP2[[APT_CODE]:[APT_CODE]],0))="","-",INDEX(Table_TCZs_RP2[2020_ACTUAL_PERF],MATCH(LEFT(C119,4),Table_TCZs_RP2[[APT_CODE]:[APT_CODE]],0))),"-")</f>
        <v>-</v>
      </c>
      <c r="F119" s="475" t="str">
        <f ca="1">IFERROR(IF(INDEX(Table_TCZs_RP2[2020_TARGET_APT],MATCH(LEFT(C119,4),Table_TCZs_RP2[[APT_CODE]:[APT_CODE]],0))="","-",INDEX(Table_TCZs_RP2[2020_TARGET_APT],MATCH(LEFT(C119,4),Table_TCZs_RP2[[APT_CODE]:[APT_CODE]],0))),"-")</f>
        <v>-</v>
      </c>
      <c r="G119" s="246"/>
      <c r="H119" s="246"/>
      <c r="I119" s="246"/>
      <c r="J119" s="246"/>
      <c r="K119" s="245"/>
    </row>
    <row r="120" spans="1:11" ht="15.75" hidden="1" customHeight="1" thickBot="1">
      <c r="A120" s="244"/>
      <c r="B120" s="909"/>
      <c r="C120" s="902" t="s">
        <v>39</v>
      </c>
      <c r="D120" s="654"/>
      <c r="E120" s="896"/>
      <c r="F120" s="897"/>
      <c r="G120" s="897"/>
      <c r="H120" s="897"/>
      <c r="I120" s="897"/>
      <c r="J120" s="898"/>
      <c r="K120" s="245"/>
    </row>
    <row r="121" spans="1:11" hidden="1">
      <c r="A121" s="244"/>
      <c r="B121" s="909"/>
      <c r="C121" s="899" t="str">
        <f ca="1">IF('Dynamic lists'!$C60=0,"",'Dynamic lists'!$C60)</f>
        <v/>
      </c>
      <c r="D121" s="900"/>
      <c r="E121" s="412" t="str">
        <f ca="1">IFERROR(IF(INDEX(Table_TCZs_RP2[2020_ACTUAL_PERF],MATCH(LEFT(C121,4),Table_TCZs_RP2[[APT_CODE]:[APT_CODE]],0))="","-",INDEX(Table_TCZs_RP2[2020_ACTUAL_PERF],MATCH(LEFT(C121,4),Table_TCZs_RP2[[APT_CODE]:[APT_CODE]],0))),"-")</f>
        <v>-</v>
      </c>
      <c r="F121" s="475" t="str">
        <f ca="1">IFERROR(IF(INDEX(Table_TCZs_RP2[2020_TARGET_APT],MATCH(LEFT(C121,4),Table_TCZs_RP2[[APT_CODE]:[APT_CODE]],0))="","-",INDEX(Table_TCZs_RP2[2020_TARGET_APT],MATCH(LEFT(C121,4),Table_TCZs_RP2[[APT_CODE]:[APT_CODE]],0))),"-")</f>
        <v>-</v>
      </c>
      <c r="G121" s="246"/>
      <c r="H121" s="246"/>
      <c r="I121" s="246"/>
      <c r="J121" s="246"/>
      <c r="K121" s="245"/>
    </row>
    <row r="122" spans="1:11" ht="15.75" hidden="1" customHeight="1" thickBot="1">
      <c r="A122" s="244"/>
      <c r="B122" s="909"/>
      <c r="C122" s="902" t="s">
        <v>39</v>
      </c>
      <c r="D122" s="654"/>
      <c r="E122" s="896"/>
      <c r="F122" s="897"/>
      <c r="G122" s="897"/>
      <c r="H122" s="897"/>
      <c r="I122" s="897"/>
      <c r="J122" s="898"/>
      <c r="K122" s="245"/>
    </row>
    <row r="123" spans="1:11" hidden="1">
      <c r="A123" s="244"/>
      <c r="B123" s="909"/>
      <c r="C123" s="899" t="str">
        <f ca="1">IF('Dynamic lists'!$C61=0,"",'Dynamic lists'!$C61)</f>
        <v/>
      </c>
      <c r="D123" s="900"/>
      <c r="E123" s="412" t="str">
        <f ca="1">IFERROR(IF(INDEX(Table_TCZs_RP2[2020_ACTUAL_PERF],MATCH(LEFT(C123,4),Table_TCZs_RP2[[APT_CODE]:[APT_CODE]],0))="","-",INDEX(Table_TCZs_RP2[2020_ACTUAL_PERF],MATCH(LEFT(C123,4),Table_TCZs_RP2[[APT_CODE]:[APT_CODE]],0))),"-")</f>
        <v>-</v>
      </c>
      <c r="F123" s="475" t="str">
        <f ca="1">IFERROR(IF(INDEX(Table_TCZs_RP2[2020_TARGET_APT],MATCH(LEFT(C123,4),Table_TCZs_RP2[[APT_CODE]:[APT_CODE]],0))="","-",INDEX(Table_TCZs_RP2[2020_TARGET_APT],MATCH(LEFT(C123,4),Table_TCZs_RP2[[APT_CODE]:[APT_CODE]],0))),"-")</f>
        <v>-</v>
      </c>
      <c r="G123" s="246"/>
      <c r="H123" s="246"/>
      <c r="I123" s="246"/>
      <c r="J123" s="246"/>
      <c r="K123" s="245"/>
    </row>
    <row r="124" spans="1:11" ht="15.75" hidden="1" customHeight="1" thickBot="1">
      <c r="A124" s="244"/>
      <c r="B124" s="909"/>
      <c r="C124" s="902" t="s">
        <v>39</v>
      </c>
      <c r="D124" s="654"/>
      <c r="E124" s="896"/>
      <c r="F124" s="897"/>
      <c r="G124" s="897"/>
      <c r="H124" s="897"/>
      <c r="I124" s="897"/>
      <c r="J124" s="898"/>
      <c r="K124" s="245"/>
    </row>
    <row r="125" spans="1:11" hidden="1">
      <c r="A125" s="244"/>
      <c r="B125" s="909"/>
      <c r="C125" s="899" t="str">
        <f ca="1">IF('Dynamic lists'!$C62=0,"",'Dynamic lists'!$C62)</f>
        <v/>
      </c>
      <c r="D125" s="900"/>
      <c r="E125" s="412" t="str">
        <f ca="1">IFERROR(IF(INDEX(Table_TCZs_RP2[2020_ACTUAL_PERF],MATCH(LEFT(C125,4),Table_TCZs_RP2[[APT_CODE]:[APT_CODE]],0))="","-",INDEX(Table_TCZs_RP2[2020_ACTUAL_PERF],MATCH(LEFT(C125,4),Table_TCZs_RP2[[APT_CODE]:[APT_CODE]],0))),"-")</f>
        <v>-</v>
      </c>
      <c r="F125" s="475" t="str">
        <f ca="1">IFERROR(IF(INDEX(Table_TCZs_RP2[2020_TARGET_APT],MATCH(LEFT(C125,4),Table_TCZs_RP2[[APT_CODE]:[APT_CODE]],0))="","-",INDEX(Table_TCZs_RP2[2020_TARGET_APT],MATCH(LEFT(C125,4),Table_TCZs_RP2[[APT_CODE]:[APT_CODE]],0))),"-")</f>
        <v>-</v>
      </c>
      <c r="G125" s="246"/>
      <c r="H125" s="246"/>
      <c r="I125" s="246"/>
      <c r="J125" s="246"/>
      <c r="K125" s="245"/>
    </row>
    <row r="126" spans="1:11" ht="15.75" hidden="1" thickBot="1">
      <c r="A126" s="244"/>
      <c r="B126" s="909"/>
      <c r="C126" s="902" t="s">
        <v>39</v>
      </c>
      <c r="D126" s="654"/>
      <c r="E126" s="896"/>
      <c r="F126" s="897"/>
      <c r="G126" s="897"/>
      <c r="H126" s="897"/>
      <c r="I126" s="897"/>
      <c r="J126" s="898"/>
      <c r="K126" s="245"/>
    </row>
    <row r="127" spans="1:11" hidden="1">
      <c r="A127" s="244"/>
      <c r="B127" s="909"/>
      <c r="C127" s="899" t="str">
        <f ca="1">IF('Dynamic lists'!$C63=0,"",'Dynamic lists'!$C63)</f>
        <v/>
      </c>
      <c r="D127" s="900"/>
      <c r="E127" s="412" t="str">
        <f ca="1">IFERROR(IF(INDEX(Table_TCZs_RP2[2020_ACTUAL_PERF],MATCH(LEFT(C127,4),Table_TCZs_RP2[[APT_CODE]:[APT_CODE]],0))="","-",INDEX(Table_TCZs_RP2[2020_ACTUAL_PERF],MATCH(LEFT(C127,4),Table_TCZs_RP2[[APT_CODE]:[APT_CODE]],0))),"-")</f>
        <v>-</v>
      </c>
      <c r="F127" s="475" t="str">
        <f ca="1">IFERROR(IF(INDEX(Table_TCZs_RP2[2020_TARGET_APT],MATCH(LEFT(C127,4),Table_TCZs_RP2[[APT_CODE]:[APT_CODE]],0))="","-",INDEX(Table_TCZs_RP2[2020_TARGET_APT],MATCH(LEFT(C127,4),Table_TCZs_RP2[[APT_CODE]:[APT_CODE]],0))),"-")</f>
        <v>-</v>
      </c>
      <c r="G127" s="246"/>
      <c r="H127" s="246"/>
      <c r="I127" s="246"/>
      <c r="J127" s="246"/>
      <c r="K127" s="245"/>
    </row>
    <row r="128" spans="1:11" ht="15.75" hidden="1" thickBot="1">
      <c r="A128" s="244"/>
      <c r="B128" s="909"/>
      <c r="C128" s="902" t="s">
        <v>39</v>
      </c>
      <c r="D128" s="654"/>
      <c r="E128" s="896"/>
      <c r="F128" s="897"/>
      <c r="G128" s="897"/>
      <c r="H128" s="897"/>
      <c r="I128" s="897"/>
      <c r="J128" s="898"/>
      <c r="K128" s="245"/>
    </row>
    <row r="129" spans="1:11" hidden="1">
      <c r="A129" s="244"/>
      <c r="B129" s="909"/>
      <c r="C129" s="899" t="str">
        <f ca="1">IF('Dynamic lists'!$C64=0,"",'Dynamic lists'!$C64)</f>
        <v/>
      </c>
      <c r="D129" s="900"/>
      <c r="E129" s="412" t="str">
        <f ca="1">IFERROR(IF(INDEX(Table_TCZs_RP2[2020_ACTUAL_PERF],MATCH(LEFT(C129,4),Table_TCZs_RP2[[APT_CODE]:[APT_CODE]],0))="","-",INDEX(Table_TCZs_RP2[2020_ACTUAL_PERF],MATCH(LEFT(C129,4),Table_TCZs_RP2[[APT_CODE]:[APT_CODE]],0))),"-")</f>
        <v>-</v>
      </c>
      <c r="F129" s="475" t="str">
        <f ca="1">IFERROR(IF(INDEX(Table_TCZs_RP2[2020_TARGET_APT],MATCH(LEFT(C129,4),Table_TCZs_RP2[[APT_CODE]:[APT_CODE]],0))="","-",INDEX(Table_TCZs_RP2[2020_TARGET_APT],MATCH(LEFT(C129,4),Table_TCZs_RP2[[APT_CODE]:[APT_CODE]],0))),"-")</f>
        <v>-</v>
      </c>
      <c r="G129" s="246"/>
      <c r="H129" s="246"/>
      <c r="I129" s="246"/>
      <c r="J129" s="246"/>
      <c r="K129" s="245"/>
    </row>
    <row r="130" spans="1:11" ht="15.75" hidden="1" thickBot="1">
      <c r="A130" s="244"/>
      <c r="B130" s="909"/>
      <c r="C130" s="902" t="s">
        <v>39</v>
      </c>
      <c r="D130" s="654"/>
      <c r="E130" s="896"/>
      <c r="F130" s="897"/>
      <c r="G130" s="897"/>
      <c r="H130" s="897"/>
      <c r="I130" s="897"/>
      <c r="J130" s="898"/>
      <c r="K130" s="245"/>
    </row>
    <row r="131" spans="1:11" hidden="1">
      <c r="A131" s="244"/>
      <c r="B131" s="909"/>
      <c r="C131" s="899" t="str">
        <f ca="1">IF('Dynamic lists'!$C65=0,"",'Dynamic lists'!$C65)</f>
        <v/>
      </c>
      <c r="D131" s="900"/>
      <c r="E131" s="412" t="str">
        <f ca="1">IFERROR(IF(INDEX(Table_TCZs_RP2[2020_ACTUAL_PERF],MATCH(LEFT(C131,4),Table_TCZs_RP2[[APT_CODE]:[APT_CODE]],0))="","-",INDEX(Table_TCZs_RP2[2020_ACTUAL_PERF],MATCH(LEFT(C131,4),Table_TCZs_RP2[[APT_CODE]:[APT_CODE]],0))),"-")</f>
        <v>-</v>
      </c>
      <c r="F131" s="475" t="str">
        <f ca="1">IFERROR(IF(INDEX(Table_TCZs_RP2[2020_TARGET_APT],MATCH(LEFT(C131,4),Table_TCZs_RP2[[APT_CODE]:[APT_CODE]],0))="","-",INDEX(Table_TCZs_RP2[2020_TARGET_APT],MATCH(LEFT(C131,4),Table_TCZs_RP2[[APT_CODE]:[APT_CODE]],0))),"-")</f>
        <v>-</v>
      </c>
      <c r="G131" s="246"/>
      <c r="H131" s="246"/>
      <c r="I131" s="246"/>
      <c r="J131" s="246"/>
      <c r="K131" s="245"/>
    </row>
    <row r="132" spans="1:11" ht="15.75" hidden="1" thickBot="1">
      <c r="A132" s="244"/>
      <c r="B132" s="909"/>
      <c r="C132" s="902" t="s">
        <v>39</v>
      </c>
      <c r="D132" s="654"/>
      <c r="E132" s="896"/>
      <c r="F132" s="897"/>
      <c r="G132" s="897"/>
      <c r="H132" s="897"/>
      <c r="I132" s="897"/>
      <c r="J132" s="898"/>
      <c r="K132" s="245"/>
    </row>
    <row r="133" spans="1:11" hidden="1">
      <c r="A133" s="244"/>
      <c r="B133" s="909"/>
      <c r="C133" s="899" t="str">
        <f ca="1">IF('Dynamic lists'!$C66=0,"",'Dynamic lists'!$C66)</f>
        <v/>
      </c>
      <c r="D133" s="900"/>
      <c r="E133" s="412" t="str">
        <f ca="1">IFERROR(IF(INDEX(Table_TCZs_RP2[2020_ACTUAL_PERF],MATCH(LEFT(C133,4),Table_TCZs_RP2[[APT_CODE]:[APT_CODE]],0))="","-",INDEX(Table_TCZs_RP2[2020_ACTUAL_PERF],MATCH(LEFT(C133,4),Table_TCZs_RP2[[APT_CODE]:[APT_CODE]],0))),"-")</f>
        <v>-</v>
      </c>
      <c r="F133" s="475" t="str">
        <f ca="1">IFERROR(IF(INDEX(Table_TCZs_RP2[2020_TARGET_APT],MATCH(LEFT(C133,4),Table_TCZs_RP2[[APT_CODE]:[APT_CODE]],0))="","-",INDEX(Table_TCZs_RP2[2020_TARGET_APT],MATCH(LEFT(C133,4),Table_TCZs_RP2[[APT_CODE]:[APT_CODE]],0))),"-")</f>
        <v>-</v>
      </c>
      <c r="G133" s="246"/>
      <c r="H133" s="246"/>
      <c r="I133" s="246"/>
      <c r="J133" s="246"/>
      <c r="K133" s="245"/>
    </row>
    <row r="134" spans="1:11" ht="15.75" hidden="1" thickBot="1">
      <c r="A134" s="244"/>
      <c r="B134" s="909"/>
      <c r="C134" s="902" t="s">
        <v>39</v>
      </c>
      <c r="D134" s="654"/>
      <c r="E134" s="896"/>
      <c r="F134" s="897"/>
      <c r="G134" s="897"/>
      <c r="H134" s="897"/>
      <c r="I134" s="897"/>
      <c r="J134" s="898"/>
      <c r="K134" s="245"/>
    </row>
    <row r="135" spans="1:11" hidden="1">
      <c r="A135" s="244"/>
      <c r="B135" s="909"/>
      <c r="C135" s="899" t="str">
        <f ca="1">IF('Dynamic lists'!$C67=0,"",'Dynamic lists'!$C67)</f>
        <v/>
      </c>
      <c r="D135" s="900"/>
      <c r="E135" s="412" t="str">
        <f ca="1">IFERROR(IF(INDEX(Table_TCZs_RP2[2020_ACTUAL_PERF],MATCH(LEFT(C135,4),Table_TCZs_RP2[[APT_CODE]:[APT_CODE]],0))="","-",INDEX(Table_TCZs_RP2[2020_ACTUAL_PERF],MATCH(LEFT(C135,4),Table_TCZs_RP2[[APT_CODE]:[APT_CODE]],0))),"-")</f>
        <v>-</v>
      </c>
      <c r="F135" s="475" t="str">
        <f ca="1">IFERROR(IF(INDEX(Table_TCZs_RP2[2020_TARGET_APT],MATCH(LEFT(C135,4),Table_TCZs_RP2[[APT_CODE]:[APT_CODE]],0))="","-",INDEX(Table_TCZs_RP2[2020_TARGET_APT],MATCH(LEFT(C135,4),Table_TCZs_RP2[[APT_CODE]:[APT_CODE]],0))),"-")</f>
        <v>-</v>
      </c>
      <c r="G135" s="246"/>
      <c r="H135" s="246"/>
      <c r="I135" s="246"/>
      <c r="J135" s="246"/>
      <c r="K135" s="245"/>
    </row>
    <row r="136" spans="1:11" ht="15.75" hidden="1" thickBot="1">
      <c r="A136" s="244"/>
      <c r="B136" s="909"/>
      <c r="C136" s="902" t="s">
        <v>39</v>
      </c>
      <c r="D136" s="654"/>
      <c r="E136" s="896"/>
      <c r="F136" s="897"/>
      <c r="G136" s="897"/>
      <c r="H136" s="897"/>
      <c r="I136" s="897"/>
      <c r="J136" s="898"/>
      <c r="K136" s="245"/>
    </row>
    <row r="137" spans="1:11" hidden="1">
      <c r="A137" s="244"/>
      <c r="B137" s="909"/>
      <c r="C137" s="899" t="str">
        <f ca="1">IF('Dynamic lists'!$C68=0,"",'Dynamic lists'!$C68)</f>
        <v/>
      </c>
      <c r="D137" s="900"/>
      <c r="E137" s="412" t="str">
        <f ca="1">IFERROR(IF(INDEX(Table_TCZs_RP2[2020_ACTUAL_PERF],MATCH(LEFT(C137,4),Table_TCZs_RP2[[APT_CODE]:[APT_CODE]],0))="","-",INDEX(Table_TCZs_RP2[2020_ACTUAL_PERF],MATCH(LEFT(C137,4),Table_TCZs_RP2[[APT_CODE]:[APT_CODE]],0))),"-")</f>
        <v>-</v>
      </c>
      <c r="F137" s="475" t="str">
        <f ca="1">IFERROR(IF(INDEX(Table_TCZs_RP2[2020_TARGET_APT],MATCH(LEFT(C137,4),Table_TCZs_RP2[[APT_CODE]:[APT_CODE]],0))="","-",INDEX(Table_TCZs_RP2[2020_TARGET_APT],MATCH(LEFT(C137,4),Table_TCZs_RP2[[APT_CODE]:[APT_CODE]],0))),"-")</f>
        <v>-</v>
      </c>
      <c r="G137" s="246"/>
      <c r="H137" s="246"/>
      <c r="I137" s="246"/>
      <c r="J137" s="246"/>
      <c r="K137" s="245"/>
    </row>
    <row r="138" spans="1:11" ht="15.75" hidden="1" thickBot="1">
      <c r="A138" s="244"/>
      <c r="B138" s="909"/>
      <c r="C138" s="902" t="s">
        <v>39</v>
      </c>
      <c r="D138" s="654"/>
      <c r="E138" s="896"/>
      <c r="F138" s="897"/>
      <c r="G138" s="897"/>
      <c r="H138" s="897"/>
      <c r="I138" s="897"/>
      <c r="J138" s="898"/>
      <c r="K138" s="245"/>
    </row>
    <row r="139" spans="1:11" hidden="1">
      <c r="A139" s="244"/>
      <c r="B139" s="909"/>
      <c r="C139" s="899" t="str">
        <f ca="1">IF('Dynamic lists'!$C69=0,"",'Dynamic lists'!$C69)</f>
        <v/>
      </c>
      <c r="D139" s="900"/>
      <c r="E139" s="412" t="str">
        <f ca="1">IFERROR(IF(INDEX(Table_TCZs_RP2[2020_ACTUAL_PERF],MATCH(LEFT(C139,4),Table_TCZs_RP2[[APT_CODE]:[APT_CODE]],0))="","-",INDEX(Table_TCZs_RP2[2020_ACTUAL_PERF],MATCH(LEFT(C139,4),Table_TCZs_RP2[[APT_CODE]:[APT_CODE]],0))),"-")</f>
        <v>-</v>
      </c>
      <c r="F139" s="475" t="str">
        <f ca="1">IFERROR(IF(INDEX(Table_TCZs_RP2[2020_TARGET_APT],MATCH(LEFT(C139,4),Table_TCZs_RP2[[APT_CODE]:[APT_CODE]],0))="","-",INDEX(Table_TCZs_RP2[2020_TARGET_APT],MATCH(LEFT(C139,4),Table_TCZs_RP2[[APT_CODE]:[APT_CODE]],0))),"-")</f>
        <v>-</v>
      </c>
      <c r="G139" s="246"/>
      <c r="H139" s="246"/>
      <c r="I139" s="246"/>
      <c r="J139" s="246"/>
      <c r="K139" s="245"/>
    </row>
    <row r="140" spans="1:11" ht="15.75" hidden="1" thickBot="1">
      <c r="A140" s="244"/>
      <c r="B140" s="909"/>
      <c r="C140" s="902" t="s">
        <v>39</v>
      </c>
      <c r="D140" s="654"/>
      <c r="E140" s="896"/>
      <c r="F140" s="897"/>
      <c r="G140" s="897"/>
      <c r="H140" s="897"/>
      <c r="I140" s="897"/>
      <c r="J140" s="898"/>
      <c r="K140" s="245"/>
    </row>
    <row r="141" spans="1:11" hidden="1">
      <c r="A141" s="244"/>
      <c r="B141" s="909"/>
      <c r="C141" s="899" t="str">
        <f ca="1">IF('Dynamic lists'!$C70=0,"",'Dynamic lists'!$C70)</f>
        <v/>
      </c>
      <c r="D141" s="900"/>
      <c r="E141" s="412" t="str">
        <f ca="1">IFERROR(IF(INDEX(Table_TCZs_RP2[2020_ACTUAL_PERF],MATCH(LEFT(C141,4),Table_TCZs_RP2[[APT_CODE]:[APT_CODE]],0))="","-",INDEX(Table_TCZs_RP2[2020_ACTUAL_PERF],MATCH(LEFT(C141,4),Table_TCZs_RP2[[APT_CODE]:[APT_CODE]],0))),"-")</f>
        <v>-</v>
      </c>
      <c r="F141" s="475" t="str">
        <f ca="1">IFERROR(IF(INDEX(Table_TCZs_RP2[2020_TARGET_APT],MATCH(LEFT(C141,4),Table_TCZs_RP2[[APT_CODE]:[APT_CODE]],0))="","-",INDEX(Table_TCZs_RP2[2020_TARGET_APT],MATCH(LEFT(C141,4),Table_TCZs_RP2[[APT_CODE]:[APT_CODE]],0))),"-")</f>
        <v>-</v>
      </c>
      <c r="G141" s="246"/>
      <c r="H141" s="246"/>
      <c r="I141" s="246"/>
      <c r="J141" s="246"/>
      <c r="K141" s="245"/>
    </row>
    <row r="142" spans="1:11" ht="15.75" hidden="1" thickBot="1">
      <c r="A142" s="244"/>
      <c r="B142" s="909"/>
      <c r="C142" s="902" t="s">
        <v>39</v>
      </c>
      <c r="D142" s="654"/>
      <c r="E142" s="896"/>
      <c r="F142" s="897"/>
      <c r="G142" s="897"/>
      <c r="H142" s="897"/>
      <c r="I142" s="897"/>
      <c r="J142" s="898"/>
      <c r="K142" s="245"/>
    </row>
    <row r="143" spans="1:11" hidden="1">
      <c r="A143" s="244"/>
      <c r="B143" s="909"/>
      <c r="C143" s="899" t="str">
        <f ca="1">IF('Dynamic lists'!$C71=0,"",'Dynamic lists'!$C71)</f>
        <v/>
      </c>
      <c r="D143" s="900"/>
      <c r="E143" s="412" t="str">
        <f ca="1">IFERROR(IF(INDEX(Table_TCZs_RP2[2020_ACTUAL_PERF],MATCH(LEFT(C143,4),Table_TCZs_RP2[[APT_CODE]:[APT_CODE]],0))="","-",INDEX(Table_TCZs_RP2[2020_ACTUAL_PERF],MATCH(LEFT(C143,4),Table_TCZs_RP2[[APT_CODE]:[APT_CODE]],0))),"-")</f>
        <v>-</v>
      </c>
      <c r="F143" s="475" t="str">
        <f ca="1">IFERROR(IF(INDEX(Table_TCZs_RP2[2020_TARGET_APT],MATCH(LEFT(C143,4),Table_TCZs_RP2[[APT_CODE]:[APT_CODE]],0))="","-",INDEX(Table_TCZs_RP2[2020_TARGET_APT],MATCH(LEFT(C143,4),Table_TCZs_RP2[[APT_CODE]:[APT_CODE]],0))),"-")</f>
        <v>-</v>
      </c>
      <c r="G143" s="246"/>
      <c r="H143" s="246"/>
      <c r="I143" s="246"/>
      <c r="J143" s="246"/>
      <c r="K143" s="245"/>
    </row>
    <row r="144" spans="1:11" ht="15.75" hidden="1" thickBot="1">
      <c r="A144" s="244"/>
      <c r="B144" s="909"/>
      <c r="C144" s="902" t="s">
        <v>39</v>
      </c>
      <c r="D144" s="654"/>
      <c r="E144" s="896"/>
      <c r="F144" s="897"/>
      <c r="G144" s="897"/>
      <c r="H144" s="897"/>
      <c r="I144" s="897"/>
      <c r="J144" s="898"/>
      <c r="K144" s="245"/>
    </row>
    <row r="145" spans="1:11" hidden="1">
      <c r="A145" s="244"/>
      <c r="B145" s="909"/>
      <c r="C145" s="899" t="str">
        <f ca="1">IF('Dynamic lists'!$C72=0,"",'Dynamic lists'!$C72)</f>
        <v/>
      </c>
      <c r="D145" s="900"/>
      <c r="E145" s="412" t="str">
        <f ca="1">IFERROR(IF(INDEX(Table_TCZs_RP2[2020_ACTUAL_PERF],MATCH(LEFT(C145,4),Table_TCZs_RP2[[APT_CODE]:[APT_CODE]],0))="","-",INDEX(Table_TCZs_RP2[2020_ACTUAL_PERF],MATCH(LEFT(C145,4),Table_TCZs_RP2[[APT_CODE]:[APT_CODE]],0))),"-")</f>
        <v>-</v>
      </c>
      <c r="F145" s="475" t="str">
        <f ca="1">IFERROR(IF(INDEX(Table_TCZs_RP2[2020_TARGET_APT],MATCH(LEFT(C145,4),Table_TCZs_RP2[[APT_CODE]:[APT_CODE]],0))="","-",INDEX(Table_TCZs_RP2[2020_TARGET_APT],MATCH(LEFT(C145,4),Table_TCZs_RP2[[APT_CODE]:[APT_CODE]],0))),"-")</f>
        <v>-</v>
      </c>
      <c r="G145" s="246"/>
      <c r="H145" s="246"/>
      <c r="I145" s="246"/>
      <c r="J145" s="246"/>
      <c r="K145" s="245"/>
    </row>
    <row r="146" spans="1:11" ht="15.75" hidden="1" thickBot="1">
      <c r="A146" s="244"/>
      <c r="B146" s="909"/>
      <c r="C146" s="902" t="s">
        <v>39</v>
      </c>
      <c r="D146" s="654"/>
      <c r="E146" s="896"/>
      <c r="F146" s="897"/>
      <c r="G146" s="897"/>
      <c r="H146" s="897"/>
      <c r="I146" s="897"/>
      <c r="J146" s="898"/>
      <c r="K146" s="245"/>
    </row>
    <row r="147" spans="1:11" hidden="1">
      <c r="A147" s="244"/>
      <c r="B147" s="909"/>
      <c r="C147" s="899" t="str">
        <f ca="1">IF('Dynamic lists'!$C73=0,"",'Dynamic lists'!$C73)</f>
        <v/>
      </c>
      <c r="D147" s="900"/>
      <c r="E147" s="412" t="str">
        <f ca="1">IFERROR(IF(INDEX(Table_TCZs_RP2[2020_ACTUAL_PERF],MATCH(LEFT(C147,4),Table_TCZs_RP2[[APT_CODE]:[APT_CODE]],0))="","-",INDEX(Table_TCZs_RP2[2020_ACTUAL_PERF],MATCH(LEFT(C147,4),Table_TCZs_RP2[[APT_CODE]:[APT_CODE]],0))),"-")</f>
        <v>-</v>
      </c>
      <c r="F147" s="475" t="str">
        <f ca="1">IFERROR(IF(INDEX(Table_TCZs_RP2[2020_TARGET_APT],MATCH(LEFT(C147,4),Table_TCZs_RP2[[APT_CODE]:[APT_CODE]],0))="","-",INDEX(Table_TCZs_RP2[2020_TARGET_APT],MATCH(LEFT(C147,4),Table_TCZs_RP2[[APT_CODE]:[APT_CODE]],0))),"-")</f>
        <v>-</v>
      </c>
      <c r="G147" s="246"/>
      <c r="H147" s="246"/>
      <c r="I147" s="246"/>
      <c r="J147" s="246"/>
      <c r="K147" s="245"/>
    </row>
    <row r="148" spans="1:11" ht="15.75" hidden="1" thickBot="1">
      <c r="A148" s="244"/>
      <c r="B148" s="909"/>
      <c r="C148" s="902" t="s">
        <v>39</v>
      </c>
      <c r="D148" s="654"/>
      <c r="E148" s="896"/>
      <c r="F148" s="897"/>
      <c r="G148" s="897"/>
      <c r="H148" s="897"/>
      <c r="I148" s="897"/>
      <c r="J148" s="898"/>
      <c r="K148" s="245"/>
    </row>
    <row r="149" spans="1:11" hidden="1">
      <c r="A149" s="244"/>
      <c r="B149" s="909"/>
      <c r="C149" s="899" t="str">
        <f ca="1">IF('Dynamic lists'!$C74=0,"",'Dynamic lists'!$C74)</f>
        <v/>
      </c>
      <c r="D149" s="900"/>
      <c r="E149" s="412" t="str">
        <f ca="1">IFERROR(IF(INDEX(Table_TCZs_RP2[2020_ACTUAL_PERF],MATCH(LEFT(C149,4),Table_TCZs_RP2[[APT_CODE]:[APT_CODE]],0))="","-",INDEX(Table_TCZs_RP2[2020_ACTUAL_PERF],MATCH(LEFT(C149,4),Table_TCZs_RP2[[APT_CODE]:[APT_CODE]],0))),"-")</f>
        <v>-</v>
      </c>
      <c r="F149" s="475" t="str">
        <f ca="1">IFERROR(IF(INDEX(Table_TCZs_RP2[2020_TARGET_APT],MATCH(LEFT(C149,4),Table_TCZs_RP2[[APT_CODE]:[APT_CODE]],0))="","-",INDEX(Table_TCZs_RP2[2020_TARGET_APT],MATCH(LEFT(C149,4),Table_TCZs_RP2[[APT_CODE]:[APT_CODE]],0))),"-")</f>
        <v>-</v>
      </c>
      <c r="G149" s="246"/>
      <c r="H149" s="246"/>
      <c r="I149" s="246"/>
      <c r="J149" s="246"/>
      <c r="K149" s="245"/>
    </row>
    <row r="150" spans="1:11" ht="15.75" hidden="1" thickBot="1">
      <c r="A150" s="244"/>
      <c r="B150" s="909"/>
      <c r="C150" s="902" t="s">
        <v>39</v>
      </c>
      <c r="D150" s="654"/>
      <c r="E150" s="896"/>
      <c r="F150" s="897"/>
      <c r="G150" s="897"/>
      <c r="H150" s="897"/>
      <c r="I150" s="897"/>
      <c r="J150" s="898"/>
      <c r="K150" s="245"/>
    </row>
    <row r="151" spans="1:11" hidden="1">
      <c r="A151" s="244"/>
      <c r="B151" s="909"/>
      <c r="C151" s="899" t="str">
        <f ca="1">IF('Dynamic lists'!$C75=0,"",'Dynamic lists'!$C75)</f>
        <v/>
      </c>
      <c r="D151" s="900"/>
      <c r="E151" s="412" t="str">
        <f ca="1">IFERROR(IF(INDEX(Table_TCZs_RP2[2020_ACTUAL_PERF],MATCH(LEFT(C151,4),Table_TCZs_RP2[[APT_CODE]:[APT_CODE]],0))="","-",INDEX(Table_TCZs_RP2[2020_ACTUAL_PERF],MATCH(LEFT(C151,4),Table_TCZs_RP2[[APT_CODE]:[APT_CODE]],0))),"-")</f>
        <v>-</v>
      </c>
      <c r="F151" s="475" t="str">
        <f ca="1">IFERROR(IF(INDEX(Table_TCZs_RP2[2020_TARGET_APT],MATCH(LEFT(C151,4),Table_TCZs_RP2[[APT_CODE]:[APT_CODE]],0))="","-",INDEX(Table_TCZs_RP2[2020_TARGET_APT],MATCH(LEFT(C151,4),Table_TCZs_RP2[[APT_CODE]:[APT_CODE]],0))),"-")</f>
        <v>-</v>
      </c>
      <c r="G151" s="246"/>
      <c r="H151" s="246"/>
      <c r="I151" s="246"/>
      <c r="J151" s="246"/>
      <c r="K151" s="245"/>
    </row>
    <row r="152" spans="1:11" ht="15.75" hidden="1" thickBot="1">
      <c r="A152" s="244"/>
      <c r="B152" s="909"/>
      <c r="C152" s="902" t="s">
        <v>39</v>
      </c>
      <c r="D152" s="654"/>
      <c r="E152" s="896"/>
      <c r="F152" s="897"/>
      <c r="G152" s="897"/>
      <c r="H152" s="897"/>
      <c r="I152" s="897"/>
      <c r="J152" s="898"/>
      <c r="K152" s="245"/>
    </row>
    <row r="153" spans="1:11" hidden="1">
      <c r="A153" s="244"/>
      <c r="B153" s="909"/>
      <c r="C153" s="899" t="str">
        <f ca="1">IF('Dynamic lists'!$C76=0,"",'Dynamic lists'!$C76)</f>
        <v/>
      </c>
      <c r="D153" s="900"/>
      <c r="E153" s="412" t="str">
        <f ca="1">IFERROR(IF(INDEX(Table_TCZs_RP2[2020_ACTUAL_PERF],MATCH(LEFT(C153,4),Table_TCZs_RP2[[APT_CODE]:[APT_CODE]],0))="","-",INDEX(Table_TCZs_RP2[2020_ACTUAL_PERF],MATCH(LEFT(C153,4),Table_TCZs_RP2[[APT_CODE]:[APT_CODE]],0))),"-")</f>
        <v>-</v>
      </c>
      <c r="F153" s="475" t="str">
        <f ca="1">IFERROR(IF(INDEX(Table_TCZs_RP2[2020_TARGET_APT],MATCH(LEFT(C153,4),Table_TCZs_RP2[[APT_CODE]:[APT_CODE]],0))="","-",INDEX(Table_TCZs_RP2[2020_TARGET_APT],MATCH(LEFT(C153,4),Table_TCZs_RP2[[APT_CODE]:[APT_CODE]],0))),"-")</f>
        <v>-</v>
      </c>
      <c r="G153" s="246"/>
      <c r="H153" s="246"/>
      <c r="I153" s="246"/>
      <c r="J153" s="246"/>
      <c r="K153" s="245"/>
    </row>
    <row r="154" spans="1:11" ht="15.75" hidden="1" thickBot="1">
      <c r="A154" s="244"/>
      <c r="B154" s="909"/>
      <c r="C154" s="902" t="s">
        <v>39</v>
      </c>
      <c r="D154" s="654"/>
      <c r="E154" s="896"/>
      <c r="F154" s="897"/>
      <c r="G154" s="897"/>
      <c r="H154" s="897"/>
      <c r="I154" s="897"/>
      <c r="J154" s="898"/>
      <c r="K154" s="245"/>
    </row>
    <row r="155" spans="1:11" hidden="1">
      <c r="A155" s="244"/>
      <c r="B155" s="909"/>
      <c r="C155" s="899" t="str">
        <f ca="1">IF('Dynamic lists'!$C77=0,"",'Dynamic lists'!$C77)</f>
        <v/>
      </c>
      <c r="D155" s="900"/>
      <c r="E155" s="412" t="str">
        <f ca="1">IFERROR(IF(INDEX(Table_TCZs_RP2[2020_ACTUAL_PERF],MATCH(LEFT(C155,4),Table_TCZs_RP2[[APT_CODE]:[APT_CODE]],0))="","-",INDEX(Table_TCZs_RP2[2020_ACTUAL_PERF],MATCH(LEFT(C155,4),Table_TCZs_RP2[[APT_CODE]:[APT_CODE]],0))),"-")</f>
        <v>-</v>
      </c>
      <c r="F155" s="475" t="str">
        <f ca="1">IFERROR(IF(INDEX(Table_TCZs_RP2[2020_TARGET_APT],MATCH(LEFT(C155,4),Table_TCZs_RP2[[APT_CODE]:[APT_CODE]],0))="","-",INDEX(Table_TCZs_RP2[2020_TARGET_APT],MATCH(LEFT(C155,4),Table_TCZs_RP2[[APT_CODE]:[APT_CODE]],0))),"-")</f>
        <v>-</v>
      </c>
      <c r="G155" s="246"/>
      <c r="H155" s="246"/>
      <c r="I155" s="246"/>
      <c r="J155" s="246"/>
      <c r="K155" s="245"/>
    </row>
    <row r="156" spans="1:11" ht="15.75" hidden="1" thickBot="1">
      <c r="A156" s="244"/>
      <c r="B156" s="909"/>
      <c r="C156" s="902" t="s">
        <v>39</v>
      </c>
      <c r="D156" s="654"/>
      <c r="E156" s="896"/>
      <c r="F156" s="897"/>
      <c r="G156" s="897"/>
      <c r="H156" s="897"/>
      <c r="I156" s="897"/>
      <c r="J156" s="898"/>
      <c r="K156" s="245"/>
    </row>
    <row r="157" spans="1:11" hidden="1">
      <c r="A157" s="244"/>
      <c r="B157" s="909"/>
      <c r="C157" s="899" t="str">
        <f ca="1">IF('Dynamic lists'!$C78=0,"",'Dynamic lists'!$C78)</f>
        <v/>
      </c>
      <c r="D157" s="900"/>
      <c r="E157" s="412" t="str">
        <f ca="1">IFERROR(IF(INDEX(Table_TCZs_RP2[2020_ACTUAL_PERF],MATCH(LEFT(C157,4),Table_TCZs_RP2[[APT_CODE]:[APT_CODE]],0))="","-",INDEX(Table_TCZs_RP2[2020_ACTUAL_PERF],MATCH(LEFT(C157,4),Table_TCZs_RP2[[APT_CODE]:[APT_CODE]],0))),"-")</f>
        <v>-</v>
      </c>
      <c r="F157" s="475" t="str">
        <f ca="1">IFERROR(IF(INDEX(Table_TCZs_RP2[2020_TARGET_APT],MATCH(LEFT(C157,4),Table_TCZs_RP2[[APT_CODE]:[APT_CODE]],0))="","-",INDEX(Table_TCZs_RP2[2020_TARGET_APT],MATCH(LEFT(C157,4),Table_TCZs_RP2[[APT_CODE]:[APT_CODE]],0))),"-")</f>
        <v>-</v>
      </c>
      <c r="G157" s="246"/>
      <c r="H157" s="246"/>
      <c r="I157" s="246"/>
      <c r="J157" s="246"/>
      <c r="K157" s="245"/>
    </row>
    <row r="158" spans="1:11" ht="15.75" hidden="1" thickBot="1">
      <c r="A158" s="244"/>
      <c r="B158" s="909"/>
      <c r="C158" s="902" t="s">
        <v>39</v>
      </c>
      <c r="D158" s="654"/>
      <c r="E158" s="896"/>
      <c r="F158" s="897"/>
      <c r="G158" s="897"/>
      <c r="H158" s="897"/>
      <c r="I158" s="897"/>
      <c r="J158" s="898"/>
      <c r="K158" s="245"/>
    </row>
    <row r="159" spans="1:11" hidden="1">
      <c r="A159" s="244"/>
      <c r="B159" s="909"/>
      <c r="C159" s="899" t="str">
        <f ca="1">IF('Dynamic lists'!$C79=0,"",'Dynamic lists'!$C79)</f>
        <v/>
      </c>
      <c r="D159" s="900"/>
      <c r="E159" s="412" t="str">
        <f ca="1">IFERROR(IF(INDEX(Table_TCZs_RP2[2020_ACTUAL_PERF],MATCH(LEFT(C159,4),Table_TCZs_RP2[[APT_CODE]:[APT_CODE]],0))="","-",INDEX(Table_TCZs_RP2[2020_ACTUAL_PERF],MATCH(LEFT(C159,4),Table_TCZs_RP2[[APT_CODE]:[APT_CODE]],0))),"-")</f>
        <v>-</v>
      </c>
      <c r="F159" s="475" t="str">
        <f ca="1">IFERROR(IF(INDEX(Table_TCZs_RP2[2020_TARGET_APT],MATCH(LEFT(C159,4),Table_TCZs_RP2[[APT_CODE]:[APT_CODE]],0))="","-",INDEX(Table_TCZs_RP2[2020_TARGET_APT],MATCH(LEFT(C159,4),Table_TCZs_RP2[[APT_CODE]:[APT_CODE]],0))),"-")</f>
        <v>-</v>
      </c>
      <c r="G159" s="246"/>
      <c r="H159" s="246"/>
      <c r="I159" s="246"/>
      <c r="J159" s="246"/>
      <c r="K159" s="245"/>
    </row>
    <row r="160" spans="1:11" ht="15.75" hidden="1" thickBot="1">
      <c r="A160" s="244"/>
      <c r="B160" s="909"/>
      <c r="C160" s="902" t="s">
        <v>39</v>
      </c>
      <c r="D160" s="654"/>
      <c r="E160" s="896"/>
      <c r="F160" s="897"/>
      <c r="G160" s="897"/>
      <c r="H160" s="897"/>
      <c r="I160" s="897"/>
      <c r="J160" s="898"/>
      <c r="K160" s="245"/>
    </row>
    <row r="161" spans="1:11" hidden="1">
      <c r="A161" s="244"/>
      <c r="B161" s="909"/>
      <c r="C161" s="899" t="str">
        <f ca="1">IF('Dynamic lists'!$C80=0,"",'Dynamic lists'!$C80)</f>
        <v/>
      </c>
      <c r="D161" s="900"/>
      <c r="E161" s="412" t="str">
        <f ca="1">IFERROR(IF(INDEX(Table_TCZs_RP2[2020_ACTUAL_PERF],MATCH(LEFT(C161,4),Table_TCZs_RP2[[APT_CODE]:[APT_CODE]],0))="","-",INDEX(Table_TCZs_RP2[2020_ACTUAL_PERF],MATCH(LEFT(C161,4),Table_TCZs_RP2[[APT_CODE]:[APT_CODE]],0))),"-")</f>
        <v>-</v>
      </c>
      <c r="F161" s="475" t="str">
        <f ca="1">IFERROR(IF(INDEX(Table_TCZs_RP2[2020_TARGET_APT],MATCH(LEFT(C161,4),Table_TCZs_RP2[[APT_CODE]:[APT_CODE]],0))="","-",INDEX(Table_TCZs_RP2[2020_TARGET_APT],MATCH(LEFT(C161,4),Table_TCZs_RP2[[APT_CODE]:[APT_CODE]],0))),"-")</f>
        <v>-</v>
      </c>
      <c r="G161" s="246"/>
      <c r="H161" s="246"/>
      <c r="I161" s="246"/>
      <c r="J161" s="246"/>
      <c r="K161" s="245"/>
    </row>
    <row r="162" spans="1:11" ht="15.75" hidden="1" thickBot="1">
      <c r="A162" s="244"/>
      <c r="B162" s="909"/>
      <c r="C162" s="902" t="s">
        <v>39</v>
      </c>
      <c r="D162" s="654"/>
      <c r="E162" s="896"/>
      <c r="F162" s="897"/>
      <c r="G162" s="897"/>
      <c r="H162" s="897"/>
      <c r="I162" s="897"/>
      <c r="J162" s="898"/>
      <c r="K162" s="245"/>
    </row>
    <row r="163" spans="1:11" hidden="1">
      <c r="A163" s="244"/>
      <c r="B163" s="909"/>
      <c r="C163" s="899" t="str">
        <f ca="1">IF('Dynamic lists'!$C81=0,"",'Dynamic lists'!$C81)</f>
        <v/>
      </c>
      <c r="D163" s="900"/>
      <c r="E163" s="412" t="str">
        <f ca="1">IFERROR(IF(INDEX(Table_TCZs_RP2[2020_ACTUAL_PERF],MATCH(LEFT(C163,4),Table_TCZs_RP2[[APT_CODE]:[APT_CODE]],0))="","-",INDEX(Table_TCZs_RP2[2020_ACTUAL_PERF],MATCH(LEFT(C163,4),Table_TCZs_RP2[[APT_CODE]:[APT_CODE]],0))),"-")</f>
        <v>-</v>
      </c>
      <c r="F163" s="475" t="str">
        <f ca="1">IFERROR(IF(INDEX(Table_TCZs_RP2[2020_TARGET_APT],MATCH(LEFT(C163,4),Table_TCZs_RP2[[APT_CODE]:[APT_CODE]],0))="","-",INDEX(Table_TCZs_RP2[2020_TARGET_APT],MATCH(LEFT(C163,4),Table_TCZs_RP2[[APT_CODE]:[APT_CODE]],0))),"-")</f>
        <v>-</v>
      </c>
      <c r="G163" s="246"/>
      <c r="H163" s="246"/>
      <c r="I163" s="246"/>
      <c r="J163" s="246"/>
      <c r="K163" s="245"/>
    </row>
    <row r="164" spans="1:11" ht="15.75" hidden="1" thickBot="1">
      <c r="A164" s="244"/>
      <c r="B164" s="909"/>
      <c r="C164" s="902" t="s">
        <v>39</v>
      </c>
      <c r="D164" s="654"/>
      <c r="E164" s="896"/>
      <c r="F164" s="897"/>
      <c r="G164" s="897"/>
      <c r="H164" s="897"/>
      <c r="I164" s="897"/>
      <c r="J164" s="898"/>
      <c r="K164" s="245"/>
    </row>
    <row r="165" spans="1:11" hidden="1">
      <c r="A165" s="244"/>
      <c r="B165" s="909"/>
      <c r="C165" s="899" t="str">
        <f ca="1">IF('Dynamic lists'!$C82=0,"",'Dynamic lists'!$C82)</f>
        <v/>
      </c>
      <c r="D165" s="900"/>
      <c r="E165" s="412" t="str">
        <f ca="1">IFERROR(IF(INDEX(Table_TCZs_RP2[2020_ACTUAL_PERF],MATCH(LEFT(C165,4),Table_TCZs_RP2[[APT_CODE]:[APT_CODE]],0))="","-",INDEX(Table_TCZs_RP2[2020_ACTUAL_PERF],MATCH(LEFT(C165,4),Table_TCZs_RP2[[APT_CODE]:[APT_CODE]],0))),"-")</f>
        <v>-</v>
      </c>
      <c r="F165" s="475" t="str">
        <f ca="1">IFERROR(IF(INDEX(Table_TCZs_RP2[2020_TARGET_APT],MATCH(LEFT(C165,4),Table_TCZs_RP2[[APT_CODE]:[APT_CODE]],0))="","-",INDEX(Table_TCZs_RP2[2020_TARGET_APT],MATCH(LEFT(C165,4),Table_TCZs_RP2[[APT_CODE]:[APT_CODE]],0))),"-")</f>
        <v>-</v>
      </c>
      <c r="G165" s="246"/>
      <c r="H165" s="246"/>
      <c r="I165" s="246"/>
      <c r="J165" s="246"/>
      <c r="K165" s="245"/>
    </row>
    <row r="166" spans="1:11" ht="15.75" hidden="1" thickBot="1">
      <c r="A166" s="244"/>
      <c r="B166" s="909"/>
      <c r="C166" s="902" t="s">
        <v>39</v>
      </c>
      <c r="D166" s="654"/>
      <c r="E166" s="896"/>
      <c r="F166" s="897"/>
      <c r="G166" s="897"/>
      <c r="H166" s="897"/>
      <c r="I166" s="897"/>
      <c r="J166" s="898"/>
      <c r="K166" s="245"/>
    </row>
    <row r="167" spans="1:11" hidden="1">
      <c r="A167" s="244"/>
      <c r="B167" s="909"/>
      <c r="C167" s="899" t="str">
        <f ca="1">IF('Dynamic lists'!$C83=0,"",'Dynamic lists'!$C83)</f>
        <v/>
      </c>
      <c r="D167" s="900"/>
      <c r="E167" s="412" t="str">
        <f ca="1">IFERROR(IF(INDEX(Table_TCZs_RP2[2020_ACTUAL_PERF],MATCH(LEFT(C167,4),Table_TCZs_RP2[[APT_CODE]:[APT_CODE]],0))="","-",INDEX(Table_TCZs_RP2[2020_ACTUAL_PERF],MATCH(LEFT(C167,4),Table_TCZs_RP2[[APT_CODE]:[APT_CODE]],0))),"-")</f>
        <v>-</v>
      </c>
      <c r="F167" s="475" t="str">
        <f ca="1">IFERROR(IF(INDEX(Table_TCZs_RP2[2020_TARGET_APT],MATCH(LEFT(C167,4),Table_TCZs_RP2[[APT_CODE]:[APT_CODE]],0))="","-",INDEX(Table_TCZs_RP2[2020_TARGET_APT],MATCH(LEFT(C167,4),Table_TCZs_RP2[[APT_CODE]:[APT_CODE]],0))),"-")</f>
        <v>-</v>
      </c>
      <c r="G167" s="246"/>
      <c r="H167" s="246"/>
      <c r="I167" s="246"/>
      <c r="J167" s="246"/>
      <c r="K167" s="245"/>
    </row>
    <row r="168" spans="1:11" ht="15.75" hidden="1" thickBot="1">
      <c r="A168" s="244"/>
      <c r="B168" s="909"/>
      <c r="C168" s="902" t="s">
        <v>39</v>
      </c>
      <c r="D168" s="654"/>
      <c r="E168" s="896"/>
      <c r="F168" s="897"/>
      <c r="G168" s="897"/>
      <c r="H168" s="897"/>
      <c r="I168" s="897"/>
      <c r="J168" s="898"/>
      <c r="K168" s="245"/>
    </row>
    <row r="169" spans="1:11" hidden="1">
      <c r="A169" s="244"/>
      <c r="B169" s="909"/>
      <c r="C169" s="899" t="str">
        <f ca="1">IF('Dynamic lists'!$C84=0,"",'Dynamic lists'!$C84)</f>
        <v/>
      </c>
      <c r="D169" s="900"/>
      <c r="E169" s="412" t="str">
        <f ca="1">IFERROR(IF(INDEX(Table_TCZs_RP2[2020_ACTUAL_PERF],MATCH(LEFT(C169,4),Table_TCZs_RP2[[APT_CODE]:[APT_CODE]],0))="","-",INDEX(Table_TCZs_RP2[2020_ACTUAL_PERF],MATCH(LEFT(C169,4),Table_TCZs_RP2[[APT_CODE]:[APT_CODE]],0))),"-")</f>
        <v>-</v>
      </c>
      <c r="F169" s="475" t="str">
        <f ca="1">IFERROR(IF(INDEX(Table_TCZs_RP2[2020_TARGET_APT],MATCH(LEFT(C169,4),Table_TCZs_RP2[[APT_CODE]:[APT_CODE]],0))="","-",INDEX(Table_TCZs_RP2[2020_TARGET_APT],MATCH(LEFT(C169,4),Table_TCZs_RP2[[APT_CODE]:[APT_CODE]],0))),"-")</f>
        <v>-</v>
      </c>
      <c r="G169" s="246"/>
      <c r="H169" s="246"/>
      <c r="I169" s="246"/>
      <c r="J169" s="246"/>
      <c r="K169" s="245"/>
    </row>
    <row r="170" spans="1:11" ht="15.75" hidden="1" thickBot="1">
      <c r="A170" s="244"/>
      <c r="B170" s="909"/>
      <c r="C170" s="902" t="s">
        <v>39</v>
      </c>
      <c r="D170" s="654"/>
      <c r="E170" s="896"/>
      <c r="F170" s="897"/>
      <c r="G170" s="897"/>
      <c r="H170" s="897"/>
      <c r="I170" s="897"/>
      <c r="J170" s="898"/>
      <c r="K170" s="245"/>
    </row>
    <row r="171" spans="1:11" hidden="1">
      <c r="A171" s="244"/>
      <c r="B171" s="909"/>
      <c r="C171" s="899" t="str">
        <f ca="1">IF('Dynamic lists'!$C85=0,"",'Dynamic lists'!$C85)</f>
        <v/>
      </c>
      <c r="D171" s="900"/>
      <c r="E171" s="412" t="str">
        <f ca="1">IFERROR(IF(INDEX(Table_TCZs_RP2[2020_ACTUAL_PERF],MATCH(LEFT(C171,4),Table_TCZs_RP2[[APT_CODE]:[APT_CODE]],0))="","-",INDEX(Table_TCZs_RP2[2020_ACTUAL_PERF],MATCH(LEFT(C171,4),Table_TCZs_RP2[[APT_CODE]:[APT_CODE]],0))),"-")</f>
        <v>-</v>
      </c>
      <c r="F171" s="475" t="str">
        <f ca="1">IFERROR(IF(INDEX(Table_TCZs_RP2[2020_TARGET_APT],MATCH(LEFT(C171,4),Table_TCZs_RP2[[APT_CODE]:[APT_CODE]],0))="","-",INDEX(Table_TCZs_RP2[2020_TARGET_APT],MATCH(LEFT(C171,4),Table_TCZs_RP2[[APT_CODE]:[APT_CODE]],0))),"-")</f>
        <v>-</v>
      </c>
      <c r="G171" s="246"/>
      <c r="H171" s="246"/>
      <c r="I171" s="246"/>
      <c r="J171" s="246"/>
      <c r="K171" s="245"/>
    </row>
    <row r="172" spans="1:11" ht="15.75" hidden="1" thickBot="1">
      <c r="A172" s="244"/>
      <c r="B172" s="909"/>
      <c r="C172" s="902" t="s">
        <v>39</v>
      </c>
      <c r="D172" s="654"/>
      <c r="E172" s="896"/>
      <c r="F172" s="897"/>
      <c r="G172" s="897"/>
      <c r="H172" s="897"/>
      <c r="I172" s="897"/>
      <c r="J172" s="898"/>
      <c r="K172" s="245"/>
    </row>
    <row r="173" spans="1:11" hidden="1">
      <c r="A173" s="244"/>
      <c r="B173" s="909"/>
      <c r="C173" s="899" t="str">
        <f ca="1">IF('Dynamic lists'!$C86=0,"",'Dynamic lists'!$C86)</f>
        <v/>
      </c>
      <c r="D173" s="900"/>
      <c r="E173" s="412" t="str">
        <f ca="1">IFERROR(IF(INDEX(Table_TCZs_RP2[2020_ACTUAL_PERF],MATCH(LEFT(C173,4),Table_TCZs_RP2[[APT_CODE]:[APT_CODE]],0))="","-",INDEX(Table_TCZs_RP2[2020_ACTUAL_PERF],MATCH(LEFT(C173,4),Table_TCZs_RP2[[APT_CODE]:[APT_CODE]],0))),"-")</f>
        <v>-</v>
      </c>
      <c r="F173" s="475" t="str">
        <f ca="1">IFERROR(IF(INDEX(Table_TCZs_RP2[2020_TARGET_APT],MATCH(LEFT(C173,4),Table_TCZs_RP2[[APT_CODE]:[APT_CODE]],0))="","-",INDEX(Table_TCZs_RP2[2020_TARGET_APT],MATCH(LEFT(C173,4),Table_TCZs_RP2[[APT_CODE]:[APT_CODE]],0))),"-")</f>
        <v>-</v>
      </c>
      <c r="G173" s="246"/>
      <c r="H173" s="246"/>
      <c r="I173" s="246"/>
      <c r="J173" s="246"/>
      <c r="K173" s="245"/>
    </row>
    <row r="174" spans="1:11" ht="15.75" hidden="1" thickBot="1">
      <c r="A174" s="244"/>
      <c r="B174" s="909"/>
      <c r="C174" s="902" t="s">
        <v>39</v>
      </c>
      <c r="D174" s="654"/>
      <c r="E174" s="896"/>
      <c r="F174" s="897"/>
      <c r="G174" s="897"/>
      <c r="H174" s="897"/>
      <c r="I174" s="897"/>
      <c r="J174" s="898"/>
      <c r="K174" s="245"/>
    </row>
    <row r="175" spans="1:11" hidden="1">
      <c r="A175" s="244"/>
      <c r="B175" s="909"/>
      <c r="C175" s="899" t="str">
        <f ca="1">IF('Dynamic lists'!$C87=0,"",'Dynamic lists'!$C87)</f>
        <v/>
      </c>
      <c r="D175" s="900"/>
      <c r="E175" s="412" t="str">
        <f ca="1">IFERROR(IF(INDEX(Table_TCZs_RP2[2020_ACTUAL_PERF],MATCH(LEFT(C175,4),Table_TCZs_RP2[[APT_CODE]:[APT_CODE]],0))="","-",INDEX(Table_TCZs_RP2[2020_ACTUAL_PERF],MATCH(LEFT(C175,4),Table_TCZs_RP2[[APT_CODE]:[APT_CODE]],0))),"-")</f>
        <v>-</v>
      </c>
      <c r="F175" s="475" t="str">
        <f ca="1">IFERROR(IF(INDEX(Table_TCZs_RP2[2020_TARGET_APT],MATCH(LEFT(C175,4),Table_TCZs_RP2[[APT_CODE]:[APT_CODE]],0))="","-",INDEX(Table_TCZs_RP2[2020_TARGET_APT],MATCH(LEFT(C175,4),Table_TCZs_RP2[[APT_CODE]:[APT_CODE]],0))),"-")</f>
        <v>-</v>
      </c>
      <c r="G175" s="246"/>
      <c r="H175" s="246"/>
      <c r="I175" s="246"/>
      <c r="J175" s="246"/>
      <c r="K175" s="245"/>
    </row>
    <row r="176" spans="1:11" ht="15.75" hidden="1" thickBot="1">
      <c r="A176" s="244"/>
      <c r="B176" s="909"/>
      <c r="C176" s="902" t="s">
        <v>39</v>
      </c>
      <c r="D176" s="654"/>
      <c r="E176" s="896"/>
      <c r="F176" s="897"/>
      <c r="G176" s="897"/>
      <c r="H176" s="897"/>
      <c r="I176" s="897"/>
      <c r="J176" s="898"/>
      <c r="K176" s="245"/>
    </row>
    <row r="177" spans="1:11" hidden="1">
      <c r="A177" s="244"/>
      <c r="B177" s="909"/>
      <c r="C177" s="899" t="str">
        <f ca="1">IF('Dynamic lists'!$C88=0,"",'Dynamic lists'!$C88)</f>
        <v/>
      </c>
      <c r="D177" s="900"/>
      <c r="E177" s="412" t="str">
        <f ca="1">IFERROR(IF(INDEX(Table_TCZs_RP2[2020_ACTUAL_PERF],MATCH(LEFT(C177,4),Table_TCZs_RP2[[APT_CODE]:[APT_CODE]],0))="","-",INDEX(Table_TCZs_RP2[2020_ACTUAL_PERF],MATCH(LEFT(C177,4),Table_TCZs_RP2[[APT_CODE]:[APT_CODE]],0))),"-")</f>
        <v>-</v>
      </c>
      <c r="F177" s="475" t="str">
        <f ca="1">IFERROR(IF(INDEX(Table_TCZs_RP2[2020_TARGET_APT],MATCH(LEFT(C177,4),Table_TCZs_RP2[[APT_CODE]:[APT_CODE]],0))="","-",INDEX(Table_TCZs_RP2[2020_TARGET_APT],MATCH(LEFT(C177,4),Table_TCZs_RP2[[APT_CODE]:[APT_CODE]],0))),"-")</f>
        <v>-</v>
      </c>
      <c r="G177" s="246"/>
      <c r="H177" s="246"/>
      <c r="I177" s="246"/>
      <c r="J177" s="246"/>
      <c r="K177" s="245"/>
    </row>
    <row r="178" spans="1:11" ht="15.75" hidden="1" thickBot="1">
      <c r="A178" s="244"/>
      <c r="B178" s="909"/>
      <c r="C178" s="902" t="s">
        <v>39</v>
      </c>
      <c r="D178" s="654"/>
      <c r="E178" s="896"/>
      <c r="F178" s="897"/>
      <c r="G178" s="897"/>
      <c r="H178" s="897"/>
      <c r="I178" s="897"/>
      <c r="J178" s="898"/>
      <c r="K178" s="245"/>
    </row>
    <row r="179" spans="1:11" hidden="1">
      <c r="A179" s="244"/>
      <c r="B179" s="909"/>
      <c r="C179" s="899" t="str">
        <f ca="1">IF('Dynamic lists'!$C89=0,"",'Dynamic lists'!$C89)</f>
        <v/>
      </c>
      <c r="D179" s="900"/>
      <c r="E179" s="412" t="str">
        <f ca="1">IFERROR(IF(INDEX(Table_TCZs_RP2[2020_ACTUAL_PERF],MATCH(LEFT(C179,4),Table_TCZs_RP2[[APT_CODE]:[APT_CODE]],0))="","-",INDEX(Table_TCZs_RP2[2020_ACTUAL_PERF],MATCH(LEFT(C179,4),Table_TCZs_RP2[[APT_CODE]:[APT_CODE]],0))),"-")</f>
        <v>-</v>
      </c>
      <c r="F179" s="475" t="str">
        <f ca="1">IFERROR(IF(INDEX(Table_TCZs_RP2[2020_TARGET_APT],MATCH(LEFT(C179,4),Table_TCZs_RP2[[APT_CODE]:[APT_CODE]],0))="","-",INDEX(Table_TCZs_RP2[2020_TARGET_APT],MATCH(LEFT(C179,4),Table_TCZs_RP2[[APT_CODE]:[APT_CODE]],0))),"-")</f>
        <v>-</v>
      </c>
      <c r="G179" s="246"/>
      <c r="H179" s="246"/>
      <c r="I179" s="246"/>
      <c r="J179" s="246"/>
      <c r="K179" s="245"/>
    </row>
    <row r="180" spans="1:11" ht="15.75" hidden="1" thickBot="1">
      <c r="A180" s="244"/>
      <c r="B180" s="909"/>
      <c r="C180" s="902" t="s">
        <v>39</v>
      </c>
      <c r="D180" s="654"/>
      <c r="E180" s="896"/>
      <c r="F180" s="897"/>
      <c r="G180" s="897"/>
      <c r="H180" s="897"/>
      <c r="I180" s="897"/>
      <c r="J180" s="898"/>
      <c r="K180" s="245"/>
    </row>
    <row r="181" spans="1:11" hidden="1">
      <c r="A181" s="244"/>
      <c r="B181" s="909"/>
      <c r="C181" s="899" t="str">
        <f ca="1">IF('Dynamic lists'!$C90=0,"",'Dynamic lists'!$C90)</f>
        <v/>
      </c>
      <c r="D181" s="900"/>
      <c r="E181" s="412" t="str">
        <f ca="1">IFERROR(IF(INDEX(Table_TCZs_RP2[2020_ACTUAL_PERF],MATCH(LEFT(C181,4),Table_TCZs_RP2[[APT_CODE]:[APT_CODE]],0))="","-",INDEX(Table_TCZs_RP2[2020_ACTUAL_PERF],MATCH(LEFT(C181,4),Table_TCZs_RP2[[APT_CODE]:[APT_CODE]],0))),"-")</f>
        <v>-</v>
      </c>
      <c r="F181" s="475" t="str">
        <f ca="1">IFERROR(IF(INDEX(Table_TCZs_RP2[2020_TARGET_APT],MATCH(LEFT(C181,4),Table_TCZs_RP2[[APT_CODE]:[APT_CODE]],0))="","-",INDEX(Table_TCZs_RP2[2020_TARGET_APT],MATCH(LEFT(C181,4),Table_TCZs_RP2[[APT_CODE]:[APT_CODE]],0))),"-")</f>
        <v>-</v>
      </c>
      <c r="G181" s="246"/>
      <c r="H181" s="246"/>
      <c r="I181" s="246"/>
      <c r="J181" s="246"/>
      <c r="K181" s="245"/>
    </row>
    <row r="182" spans="1:11" ht="15.75" hidden="1" thickBot="1">
      <c r="A182" s="244"/>
      <c r="B182" s="909"/>
      <c r="C182" s="902" t="s">
        <v>39</v>
      </c>
      <c r="D182" s="654"/>
      <c r="E182" s="896"/>
      <c r="F182" s="897"/>
      <c r="G182" s="897"/>
      <c r="H182" s="897"/>
      <c r="I182" s="897"/>
      <c r="J182" s="898"/>
      <c r="K182" s="245"/>
    </row>
    <row r="183" spans="1:11" hidden="1">
      <c r="A183" s="244"/>
      <c r="B183" s="909"/>
      <c r="C183" s="899" t="str">
        <f ca="1">IF('Dynamic lists'!$C91=0,"",'Dynamic lists'!$C91)</f>
        <v/>
      </c>
      <c r="D183" s="900"/>
      <c r="E183" s="412" t="str">
        <f ca="1">IFERROR(IF(INDEX(Table_TCZs_RP2[2020_ACTUAL_PERF],MATCH(LEFT(C183,4),Table_TCZs_RP2[[APT_CODE]:[APT_CODE]],0))="","-",INDEX(Table_TCZs_RP2[2020_ACTUAL_PERF],MATCH(LEFT(C183,4),Table_TCZs_RP2[[APT_CODE]:[APT_CODE]],0))),"-")</f>
        <v>-</v>
      </c>
      <c r="F183" s="475" t="str">
        <f ca="1">IFERROR(IF(INDEX(Table_TCZs_RP2[2020_TARGET_APT],MATCH(LEFT(C183,4),Table_TCZs_RP2[[APT_CODE]:[APT_CODE]],0))="","-",INDEX(Table_TCZs_RP2[2020_TARGET_APT],MATCH(LEFT(C183,4),Table_TCZs_RP2[[APT_CODE]:[APT_CODE]],0))),"-")</f>
        <v>-</v>
      </c>
      <c r="G183" s="246"/>
      <c r="H183" s="246"/>
      <c r="I183" s="246"/>
      <c r="J183" s="246"/>
      <c r="K183" s="245"/>
    </row>
    <row r="184" spans="1:11" ht="15.75" hidden="1" thickBot="1">
      <c r="A184" s="244"/>
      <c r="B184" s="909"/>
      <c r="C184" s="902" t="s">
        <v>39</v>
      </c>
      <c r="D184" s="654"/>
      <c r="E184" s="896"/>
      <c r="F184" s="897"/>
      <c r="G184" s="897"/>
      <c r="H184" s="897"/>
      <c r="I184" s="897"/>
      <c r="J184" s="898"/>
      <c r="K184" s="245"/>
    </row>
    <row r="185" spans="1:11" hidden="1">
      <c r="A185" s="244"/>
      <c r="B185" s="909"/>
      <c r="C185" s="899" t="str">
        <f ca="1">IF('Dynamic lists'!$C92=0,"",'Dynamic lists'!$C92)</f>
        <v/>
      </c>
      <c r="D185" s="900"/>
      <c r="E185" s="412" t="str">
        <f ca="1">IFERROR(IF(INDEX(Table_TCZs_RP2[2020_ACTUAL_PERF],MATCH(LEFT(C185,4),Table_TCZs_RP2[[APT_CODE]:[APT_CODE]],0))="","-",INDEX(Table_TCZs_RP2[2020_ACTUAL_PERF],MATCH(LEFT(C185,4),Table_TCZs_RP2[[APT_CODE]:[APT_CODE]],0))),"-")</f>
        <v>-</v>
      </c>
      <c r="F185" s="475" t="str">
        <f ca="1">IFERROR(IF(INDEX(Table_TCZs_RP2[2020_TARGET_APT],MATCH(LEFT(C185,4),Table_TCZs_RP2[[APT_CODE]:[APT_CODE]],0))="","-",INDEX(Table_TCZs_RP2[2020_TARGET_APT],MATCH(LEFT(C185,4),Table_TCZs_RP2[[APT_CODE]:[APT_CODE]],0))),"-")</f>
        <v>-</v>
      </c>
      <c r="G185" s="246"/>
      <c r="H185" s="246"/>
      <c r="I185" s="246"/>
      <c r="J185" s="246"/>
      <c r="K185" s="245"/>
    </row>
    <row r="186" spans="1:11" ht="15.75" hidden="1" thickBot="1">
      <c r="A186" s="244"/>
      <c r="B186" s="909"/>
      <c r="C186" s="902" t="s">
        <v>39</v>
      </c>
      <c r="D186" s="654"/>
      <c r="E186" s="896"/>
      <c r="F186" s="897"/>
      <c r="G186" s="897"/>
      <c r="H186" s="897"/>
      <c r="I186" s="897"/>
      <c r="J186" s="898"/>
      <c r="K186" s="245"/>
    </row>
    <row r="187" spans="1:11" hidden="1">
      <c r="A187" s="244"/>
      <c r="B187" s="909"/>
      <c r="C187" s="899" t="str">
        <f ca="1">IF('Dynamic lists'!$C93=0,"",'Dynamic lists'!$C93)</f>
        <v/>
      </c>
      <c r="D187" s="900"/>
      <c r="E187" s="412" t="str">
        <f ca="1">IFERROR(IF(INDEX(Table_TCZs_RP2[2020_ACTUAL_PERF],MATCH(LEFT(C187,4),Table_TCZs_RP2[[APT_CODE]:[APT_CODE]],0))="","-",INDEX(Table_TCZs_RP2[2020_ACTUAL_PERF],MATCH(LEFT(C187,4),Table_TCZs_RP2[[APT_CODE]:[APT_CODE]],0))),"-")</f>
        <v>-</v>
      </c>
      <c r="F187" s="475" t="str">
        <f ca="1">IFERROR(IF(INDEX(Table_TCZs_RP2[2020_TARGET_APT],MATCH(LEFT(C187,4),Table_TCZs_RP2[[APT_CODE]:[APT_CODE]],0))="","-",INDEX(Table_TCZs_RP2[2020_TARGET_APT],MATCH(LEFT(C187,4),Table_TCZs_RP2[[APT_CODE]:[APT_CODE]],0))),"-")</f>
        <v>-</v>
      </c>
      <c r="G187" s="246"/>
      <c r="H187" s="246"/>
      <c r="I187" s="246"/>
      <c r="J187" s="246"/>
      <c r="K187" s="245"/>
    </row>
    <row r="188" spans="1:11" ht="15.75" hidden="1" thickBot="1">
      <c r="A188" s="244"/>
      <c r="B188" s="909"/>
      <c r="C188" s="902" t="s">
        <v>39</v>
      </c>
      <c r="D188" s="654"/>
      <c r="E188" s="896"/>
      <c r="F188" s="897"/>
      <c r="G188" s="897"/>
      <c r="H188" s="897"/>
      <c r="I188" s="897"/>
      <c r="J188" s="898"/>
      <c r="K188" s="245"/>
    </row>
    <row r="189" spans="1:11" hidden="1">
      <c r="A189" s="244"/>
      <c r="B189" s="909"/>
      <c r="C189" s="899" t="str">
        <f ca="1">IF('Dynamic lists'!$C94=0,"",'Dynamic lists'!$C94)</f>
        <v/>
      </c>
      <c r="D189" s="900"/>
      <c r="E189" s="412" t="str">
        <f ca="1">IFERROR(IF(INDEX(Table_TCZs_RP2[2020_ACTUAL_PERF],MATCH(LEFT(C189,4),Table_TCZs_RP2[[APT_CODE]:[APT_CODE]],0))="","-",INDEX(Table_TCZs_RP2[2020_ACTUAL_PERF],MATCH(LEFT(C189,4),Table_TCZs_RP2[[APT_CODE]:[APT_CODE]],0))),"-")</f>
        <v>-</v>
      </c>
      <c r="F189" s="475" t="str">
        <f ca="1">IFERROR(IF(INDEX(Table_TCZs_RP2[2020_TARGET_APT],MATCH(LEFT(C189,4),Table_TCZs_RP2[[APT_CODE]:[APT_CODE]],0))="","-",INDEX(Table_TCZs_RP2[2020_TARGET_APT],MATCH(LEFT(C189,4),Table_TCZs_RP2[[APT_CODE]:[APT_CODE]],0))),"-")</f>
        <v>-</v>
      </c>
      <c r="G189" s="246"/>
      <c r="H189" s="246"/>
      <c r="I189" s="246"/>
      <c r="J189" s="246"/>
      <c r="K189" s="245"/>
    </row>
    <row r="190" spans="1:11" ht="15.75" hidden="1" thickBot="1">
      <c r="A190" s="244"/>
      <c r="B190" s="909"/>
      <c r="C190" s="902" t="s">
        <v>39</v>
      </c>
      <c r="D190" s="654"/>
      <c r="E190" s="896"/>
      <c r="F190" s="897"/>
      <c r="G190" s="897"/>
      <c r="H190" s="897"/>
      <c r="I190" s="897"/>
      <c r="J190" s="898"/>
      <c r="K190" s="245"/>
    </row>
    <row r="191" spans="1:11" hidden="1">
      <c r="A191" s="244"/>
      <c r="B191" s="909"/>
      <c r="C191" s="899" t="str">
        <f ca="1">IF('Dynamic lists'!$C95=0,"",'Dynamic lists'!$C95)</f>
        <v/>
      </c>
      <c r="D191" s="900"/>
      <c r="E191" s="412" t="str">
        <f ca="1">IFERROR(IF(INDEX(Table_TCZs_RP2[2020_ACTUAL_PERF],MATCH(LEFT(C191,4),Table_TCZs_RP2[[APT_CODE]:[APT_CODE]],0))="","-",INDEX(Table_TCZs_RP2[2020_ACTUAL_PERF],MATCH(LEFT(C191,4),Table_TCZs_RP2[[APT_CODE]:[APT_CODE]],0))),"-")</f>
        <v>-</v>
      </c>
      <c r="F191" s="475" t="str">
        <f ca="1">IFERROR(IF(INDEX(Table_TCZs_RP2[2020_TARGET_APT],MATCH(LEFT(C191,4),Table_TCZs_RP2[[APT_CODE]:[APT_CODE]],0))="","-",INDEX(Table_TCZs_RP2[2020_TARGET_APT],MATCH(LEFT(C191,4),Table_TCZs_RP2[[APT_CODE]:[APT_CODE]],0))),"-")</f>
        <v>-</v>
      </c>
      <c r="G191" s="246"/>
      <c r="H191" s="246"/>
      <c r="I191" s="246"/>
      <c r="J191" s="246"/>
      <c r="K191" s="245"/>
    </row>
    <row r="192" spans="1:11" ht="15.75" hidden="1" thickBot="1">
      <c r="A192" s="244"/>
      <c r="B192" s="909"/>
      <c r="C192" s="902" t="s">
        <v>39</v>
      </c>
      <c r="D192" s="654"/>
      <c r="E192" s="896"/>
      <c r="F192" s="897"/>
      <c r="G192" s="897"/>
      <c r="H192" s="897"/>
      <c r="I192" s="897"/>
      <c r="J192" s="898"/>
      <c r="K192" s="245"/>
    </row>
    <row r="193" spans="1:11" hidden="1">
      <c r="A193" s="244"/>
      <c r="B193" s="909"/>
      <c r="C193" s="899" t="str">
        <f ca="1">IF('Dynamic lists'!$C96=0,"",'Dynamic lists'!$C96)</f>
        <v/>
      </c>
      <c r="D193" s="900"/>
      <c r="E193" s="412" t="str">
        <f ca="1">IFERROR(IF(INDEX(Table_TCZs_RP2[2020_ACTUAL_PERF],MATCH(LEFT(C193,4),Table_TCZs_RP2[[APT_CODE]:[APT_CODE]],0))="","-",INDEX(Table_TCZs_RP2[2020_ACTUAL_PERF],MATCH(LEFT(C193,4),Table_TCZs_RP2[[APT_CODE]:[APT_CODE]],0))),"-")</f>
        <v>-</v>
      </c>
      <c r="F193" s="475" t="str">
        <f ca="1">IFERROR(IF(INDEX(Table_TCZs_RP2[2020_TARGET_APT],MATCH(LEFT(C193,4),Table_TCZs_RP2[[APT_CODE]:[APT_CODE]],0))="","-",INDEX(Table_TCZs_RP2[2020_TARGET_APT],MATCH(LEFT(C193,4),Table_TCZs_RP2[[APT_CODE]:[APT_CODE]],0))),"-")</f>
        <v>-</v>
      </c>
      <c r="G193" s="246"/>
      <c r="H193" s="246"/>
      <c r="I193" s="246"/>
      <c r="J193" s="246"/>
      <c r="K193" s="245"/>
    </row>
    <row r="194" spans="1:11" ht="15.75" hidden="1" thickBot="1">
      <c r="A194" s="244"/>
      <c r="B194" s="909"/>
      <c r="C194" s="902" t="s">
        <v>39</v>
      </c>
      <c r="D194" s="654"/>
      <c r="E194" s="896"/>
      <c r="F194" s="897"/>
      <c r="G194" s="897"/>
      <c r="H194" s="897"/>
      <c r="I194" s="897"/>
      <c r="J194" s="898"/>
      <c r="K194" s="245"/>
    </row>
    <row r="195" spans="1:11" hidden="1">
      <c r="A195" s="244"/>
      <c r="B195" s="909"/>
      <c r="C195" s="899" t="str">
        <f ca="1">IF('Dynamic lists'!$C97=0,"",'Dynamic lists'!$C97)</f>
        <v/>
      </c>
      <c r="D195" s="900"/>
      <c r="E195" s="412" t="str">
        <f ca="1">IFERROR(IF(INDEX(Table_TCZs_RP2[2020_ACTUAL_PERF],MATCH(LEFT(C195,4),Table_TCZs_RP2[[APT_CODE]:[APT_CODE]],0))="","-",INDEX(Table_TCZs_RP2[2020_ACTUAL_PERF],MATCH(LEFT(C195,4),Table_TCZs_RP2[[APT_CODE]:[APT_CODE]],0))),"-")</f>
        <v>-</v>
      </c>
      <c r="F195" s="475" t="str">
        <f ca="1">IFERROR(IF(INDEX(Table_TCZs_RP2[2020_TARGET_APT],MATCH(LEFT(C195,4),Table_TCZs_RP2[[APT_CODE]:[APT_CODE]],0))="","-",INDEX(Table_TCZs_RP2[2020_TARGET_APT],MATCH(LEFT(C195,4),Table_TCZs_RP2[[APT_CODE]:[APT_CODE]],0))),"-")</f>
        <v>-</v>
      </c>
      <c r="G195" s="246"/>
      <c r="H195" s="246"/>
      <c r="I195" s="246"/>
      <c r="J195" s="246"/>
      <c r="K195" s="245"/>
    </row>
    <row r="196" spans="1:11" ht="15.75" hidden="1" thickBot="1">
      <c r="A196" s="244"/>
      <c r="B196" s="909"/>
      <c r="C196" s="902" t="s">
        <v>39</v>
      </c>
      <c r="D196" s="654"/>
      <c r="E196" s="896"/>
      <c r="F196" s="897"/>
      <c r="G196" s="897"/>
      <c r="H196" s="897"/>
      <c r="I196" s="897"/>
      <c r="J196" s="898"/>
      <c r="K196" s="245"/>
    </row>
    <row r="197" spans="1:11" hidden="1">
      <c r="A197" s="244"/>
      <c r="B197" s="909"/>
      <c r="C197" s="899" t="str">
        <f ca="1">IF('Dynamic lists'!$C98=0,"",'Dynamic lists'!$C98)</f>
        <v/>
      </c>
      <c r="D197" s="900"/>
      <c r="E197" s="412" t="str">
        <f ca="1">IFERROR(IF(INDEX(Table_TCZs_RP2[2020_ACTUAL_PERF],MATCH(LEFT(C197,4),Table_TCZs_RP2[[APT_CODE]:[APT_CODE]],0))="","-",INDEX(Table_TCZs_RP2[2020_ACTUAL_PERF],MATCH(LEFT(C197,4),Table_TCZs_RP2[[APT_CODE]:[APT_CODE]],0))),"-")</f>
        <v>-</v>
      </c>
      <c r="F197" s="475" t="str">
        <f ca="1">IFERROR(IF(INDEX(Table_TCZs_RP2[2020_TARGET_APT],MATCH(LEFT(C197,4),Table_TCZs_RP2[[APT_CODE]:[APT_CODE]],0))="","-",INDEX(Table_TCZs_RP2[2020_TARGET_APT],MATCH(LEFT(C197,4),Table_TCZs_RP2[[APT_CODE]:[APT_CODE]],0))),"-")</f>
        <v>-</v>
      </c>
      <c r="G197" s="246"/>
      <c r="H197" s="246"/>
      <c r="I197" s="246"/>
      <c r="J197" s="246"/>
      <c r="K197" s="245"/>
    </row>
    <row r="198" spans="1:11" ht="15.75" hidden="1" thickBot="1">
      <c r="A198" s="244"/>
      <c r="B198" s="909"/>
      <c r="C198" s="902" t="s">
        <v>39</v>
      </c>
      <c r="D198" s="654"/>
      <c r="E198" s="896"/>
      <c r="F198" s="897"/>
      <c r="G198" s="897"/>
      <c r="H198" s="897"/>
      <c r="I198" s="897"/>
      <c r="J198" s="898"/>
      <c r="K198" s="245"/>
    </row>
    <row r="199" spans="1:11" hidden="1">
      <c r="A199" s="244"/>
      <c r="B199" s="909"/>
      <c r="C199" s="899" t="str">
        <f ca="1">IF('Dynamic lists'!$C99=0,"",'Dynamic lists'!$C99)</f>
        <v/>
      </c>
      <c r="D199" s="900"/>
      <c r="E199" s="412" t="str">
        <f ca="1">IFERROR(IF(INDEX(Table_TCZs_RP2[2020_ACTUAL_PERF],MATCH(LEFT(C199,4),Table_TCZs_RP2[[APT_CODE]:[APT_CODE]],0))="","-",INDEX(Table_TCZs_RP2[2020_ACTUAL_PERF],MATCH(LEFT(C199,4),Table_TCZs_RP2[[APT_CODE]:[APT_CODE]],0))),"-")</f>
        <v>-</v>
      </c>
      <c r="F199" s="475" t="str">
        <f ca="1">IFERROR(IF(INDEX(Table_TCZs_RP2[2020_TARGET_APT],MATCH(LEFT(C199,4),Table_TCZs_RP2[[APT_CODE]:[APT_CODE]],0))="","-",INDEX(Table_TCZs_RP2[2020_TARGET_APT],MATCH(LEFT(C199,4),Table_TCZs_RP2[[APT_CODE]:[APT_CODE]],0))),"-")</f>
        <v>-</v>
      </c>
      <c r="G199" s="246"/>
      <c r="H199" s="246"/>
      <c r="I199" s="246"/>
      <c r="J199" s="246"/>
      <c r="K199" s="245"/>
    </row>
    <row r="200" spans="1:11" ht="15.75" hidden="1" thickBot="1">
      <c r="A200" s="244"/>
      <c r="B200" s="909"/>
      <c r="C200" s="902" t="s">
        <v>39</v>
      </c>
      <c r="D200" s="654"/>
      <c r="E200" s="896"/>
      <c r="F200" s="897"/>
      <c r="G200" s="897"/>
      <c r="H200" s="897"/>
      <c r="I200" s="897"/>
      <c r="J200" s="898"/>
      <c r="K200" s="245"/>
    </row>
    <row r="201" spans="1:11" hidden="1">
      <c r="A201" s="244"/>
      <c r="B201" s="909"/>
      <c r="C201" s="899" t="str">
        <f ca="1">IF('Dynamic lists'!$C100=0,"",'Dynamic lists'!$C100)</f>
        <v/>
      </c>
      <c r="D201" s="900"/>
      <c r="E201" s="412" t="str">
        <f ca="1">IFERROR(IF(INDEX(Table_TCZs_RP2[2020_ACTUAL_PERF],MATCH(LEFT(C201,4),Table_TCZs_RP2[[APT_CODE]:[APT_CODE]],0))="","-",INDEX(Table_TCZs_RP2[2020_ACTUAL_PERF],MATCH(LEFT(C201,4),Table_TCZs_RP2[[APT_CODE]:[APT_CODE]],0))),"-")</f>
        <v>-</v>
      </c>
      <c r="F201" s="475" t="str">
        <f ca="1">IFERROR(IF(INDEX(Table_TCZs_RP2[2020_TARGET_APT],MATCH(LEFT(C201,4),Table_TCZs_RP2[[APT_CODE]:[APT_CODE]],0))="","-",INDEX(Table_TCZs_RP2[2020_TARGET_APT],MATCH(LEFT(C201,4),Table_TCZs_RP2[[APT_CODE]:[APT_CODE]],0))),"-")</f>
        <v>-</v>
      </c>
      <c r="G201" s="246"/>
      <c r="H201" s="246"/>
      <c r="I201" s="246"/>
      <c r="J201" s="246"/>
      <c r="K201" s="245"/>
    </row>
    <row r="202" spans="1:11" ht="15.75" hidden="1" thickBot="1">
      <c r="A202" s="244"/>
      <c r="B202" s="909"/>
      <c r="C202" s="902" t="s">
        <v>39</v>
      </c>
      <c r="D202" s="654"/>
      <c r="E202" s="896"/>
      <c r="F202" s="897"/>
      <c r="G202" s="897"/>
      <c r="H202" s="897"/>
      <c r="I202" s="897"/>
      <c r="J202" s="898"/>
      <c r="K202" s="245"/>
    </row>
    <row r="203" spans="1:11" hidden="1">
      <c r="A203" s="244"/>
      <c r="B203" s="909"/>
      <c r="C203" s="899" t="str">
        <f ca="1">IF('Dynamic lists'!$C101=0,"",'Dynamic lists'!$C101)</f>
        <v/>
      </c>
      <c r="D203" s="900"/>
      <c r="E203" s="412" t="str">
        <f ca="1">IFERROR(IF(INDEX(Table_TCZs_RP2[2020_ACTUAL_PERF],MATCH(LEFT(C203,4),Table_TCZs_RP2[[APT_CODE]:[APT_CODE]],0))="","-",INDEX(Table_TCZs_RP2[2020_ACTUAL_PERF],MATCH(LEFT(C203,4),Table_TCZs_RP2[[APT_CODE]:[APT_CODE]],0))),"-")</f>
        <v>-</v>
      </c>
      <c r="F203" s="475" t="str">
        <f ca="1">IFERROR(IF(INDEX(Table_TCZs_RP2[2020_TARGET_APT],MATCH(LEFT(C203,4),Table_TCZs_RP2[[APT_CODE]:[APT_CODE]],0))="","-",INDEX(Table_TCZs_RP2[2020_TARGET_APT],MATCH(LEFT(C203,4),Table_TCZs_RP2[[APT_CODE]:[APT_CODE]],0))),"-")</f>
        <v>-</v>
      </c>
      <c r="G203" s="246"/>
      <c r="H203" s="246"/>
      <c r="I203" s="246"/>
      <c r="J203" s="246"/>
      <c r="K203" s="245"/>
    </row>
    <row r="204" spans="1:11" ht="15.75" hidden="1" thickBot="1">
      <c r="A204" s="244"/>
      <c r="B204" s="909"/>
      <c r="C204" s="902" t="s">
        <v>39</v>
      </c>
      <c r="D204" s="654"/>
      <c r="E204" s="896"/>
      <c r="F204" s="897"/>
      <c r="G204" s="897"/>
      <c r="H204" s="897"/>
      <c r="I204" s="897"/>
      <c r="J204" s="898"/>
      <c r="K204" s="245"/>
    </row>
    <row r="205" spans="1:11" hidden="1">
      <c r="A205" s="244"/>
      <c r="B205" s="909"/>
      <c r="C205" s="899" t="str">
        <f ca="1">IF('Dynamic lists'!$C102=0,"",'Dynamic lists'!$C102)</f>
        <v/>
      </c>
      <c r="D205" s="900"/>
      <c r="E205" s="412" t="str">
        <f ca="1">IFERROR(IF(INDEX(Table_TCZs_RP2[2020_ACTUAL_PERF],MATCH(LEFT(C205,4),Table_TCZs_RP2[[APT_CODE]:[APT_CODE]],0))="","-",INDEX(Table_TCZs_RP2[2020_ACTUAL_PERF],MATCH(LEFT(C205,4),Table_TCZs_RP2[[APT_CODE]:[APT_CODE]],0))),"-")</f>
        <v>-</v>
      </c>
      <c r="F205" s="475" t="str">
        <f ca="1">IFERROR(IF(INDEX(Table_TCZs_RP2[2020_TARGET_APT],MATCH(LEFT(C205,4),Table_TCZs_RP2[[APT_CODE]:[APT_CODE]],0))="","-",INDEX(Table_TCZs_RP2[2020_TARGET_APT],MATCH(LEFT(C205,4),Table_TCZs_RP2[[APT_CODE]:[APT_CODE]],0))),"-")</f>
        <v>-</v>
      </c>
      <c r="G205" s="246"/>
      <c r="H205" s="246"/>
      <c r="I205" s="246"/>
      <c r="J205" s="246"/>
      <c r="K205" s="245"/>
    </row>
    <row r="206" spans="1:11" ht="15.75" hidden="1" thickBot="1">
      <c r="A206" s="244"/>
      <c r="B206" s="909"/>
      <c r="C206" s="902" t="s">
        <v>39</v>
      </c>
      <c r="D206" s="654"/>
      <c r="E206" s="896"/>
      <c r="F206" s="897"/>
      <c r="G206" s="897"/>
      <c r="H206" s="897"/>
      <c r="I206" s="897"/>
      <c r="J206" s="898"/>
      <c r="K206" s="245"/>
    </row>
    <row r="207" spans="1:11" hidden="1">
      <c r="A207" s="244"/>
      <c r="B207" s="909"/>
      <c r="C207" s="899" t="str">
        <f ca="1">IF('Dynamic lists'!$C103=0,"",'Dynamic lists'!$C103)</f>
        <v/>
      </c>
      <c r="D207" s="900"/>
      <c r="E207" s="412" t="str">
        <f ca="1">IFERROR(IF(INDEX(Table_TCZs_RP2[2020_ACTUAL_PERF],MATCH(LEFT(C207,4),Table_TCZs_RP2[[APT_CODE]:[APT_CODE]],0))="","-",INDEX(Table_TCZs_RP2[2020_ACTUAL_PERF],MATCH(LEFT(C207,4),Table_TCZs_RP2[[APT_CODE]:[APT_CODE]],0))),"-")</f>
        <v>-</v>
      </c>
      <c r="F207" s="475" t="str">
        <f ca="1">IFERROR(IF(INDEX(Table_TCZs_RP2[2020_TARGET_APT],MATCH(LEFT(C207,4),Table_TCZs_RP2[[APT_CODE]:[APT_CODE]],0))="","-",INDEX(Table_TCZs_RP2[2020_TARGET_APT],MATCH(LEFT(C207,4),Table_TCZs_RP2[[APT_CODE]:[APT_CODE]],0))),"-")</f>
        <v>-</v>
      </c>
      <c r="G207" s="246"/>
      <c r="H207" s="246"/>
      <c r="I207" s="246"/>
      <c r="J207" s="246"/>
      <c r="K207" s="245"/>
    </row>
    <row r="208" spans="1:11" ht="15.75" hidden="1" thickBot="1">
      <c r="A208" s="244"/>
      <c r="B208" s="909"/>
      <c r="C208" s="902" t="s">
        <v>39</v>
      </c>
      <c r="D208" s="654"/>
      <c r="E208" s="896"/>
      <c r="F208" s="897"/>
      <c r="G208" s="897"/>
      <c r="H208" s="897"/>
      <c r="I208" s="897"/>
      <c r="J208" s="898"/>
      <c r="K208" s="245"/>
    </row>
    <row r="209" spans="1:11" hidden="1">
      <c r="A209" s="244"/>
      <c r="B209" s="909"/>
      <c r="C209" s="899" t="str">
        <f ca="1">IF('Dynamic lists'!$C104=0,"",'Dynamic lists'!$C104)</f>
        <v/>
      </c>
      <c r="D209" s="900"/>
      <c r="E209" s="412" t="str">
        <f ca="1">IFERROR(IF(INDEX(Table_TCZs_RP2[2020_ACTUAL_PERF],MATCH(LEFT(C209,4),Table_TCZs_RP2[[APT_CODE]:[APT_CODE]],0))="","-",INDEX(Table_TCZs_RP2[2020_ACTUAL_PERF],MATCH(LEFT(C209,4),Table_TCZs_RP2[[APT_CODE]:[APT_CODE]],0))),"-")</f>
        <v>-</v>
      </c>
      <c r="F209" s="475" t="str">
        <f ca="1">IFERROR(IF(INDEX(Table_TCZs_RP2[2020_TARGET_APT],MATCH(LEFT(C209,4),Table_TCZs_RP2[[APT_CODE]:[APT_CODE]],0))="","-",INDEX(Table_TCZs_RP2[2020_TARGET_APT],MATCH(LEFT(C209,4),Table_TCZs_RP2[[APT_CODE]:[APT_CODE]],0))),"-")</f>
        <v>-</v>
      </c>
      <c r="G209" s="246"/>
      <c r="H209" s="246"/>
      <c r="I209" s="246"/>
      <c r="J209" s="246"/>
      <c r="K209" s="245"/>
    </row>
    <row r="210" spans="1:11" ht="15.75" hidden="1" thickBot="1">
      <c r="A210" s="244"/>
      <c r="B210" s="910"/>
      <c r="C210" s="906" t="s">
        <v>39</v>
      </c>
      <c r="D210" s="907"/>
      <c r="E210" s="896"/>
      <c r="F210" s="897"/>
      <c r="G210" s="897"/>
      <c r="H210" s="897"/>
      <c r="I210" s="897"/>
      <c r="J210" s="898"/>
      <c r="K210" s="245"/>
    </row>
    <row r="211" spans="1:11">
      <c r="A211" s="22"/>
      <c r="B211" s="134"/>
      <c r="C211" s="349"/>
      <c r="D211" s="349"/>
      <c r="E211" s="349"/>
      <c r="F211" s="349"/>
      <c r="G211" s="349"/>
      <c r="H211" s="349"/>
      <c r="I211" s="349"/>
      <c r="J211" s="349"/>
    </row>
    <row r="212" spans="1:11" ht="15" customHeight="1">
      <c r="A212" s="22"/>
      <c r="B212" s="50" t="s">
        <v>1430</v>
      </c>
      <c r="C212" s="50"/>
      <c r="D212" s="50"/>
      <c r="E212" s="50"/>
      <c r="F212" s="50"/>
      <c r="G212" s="50"/>
      <c r="H212" s="50"/>
      <c r="I212" s="50"/>
      <c r="J212" s="50"/>
    </row>
    <row r="213" spans="1:11" s="4" customFormat="1" ht="15.75">
      <c r="B213" s="226"/>
      <c r="C213" s="226"/>
      <c r="D213" s="226"/>
      <c r="E213" s="226"/>
      <c r="F213" s="226"/>
      <c r="G213" s="226"/>
      <c r="H213" s="226"/>
      <c r="I213" s="51"/>
    </row>
    <row r="214" spans="1:11" ht="75" customHeight="1">
      <c r="A214" s="22"/>
      <c r="B214" s="903"/>
      <c r="C214" s="904"/>
      <c r="D214" s="904"/>
      <c r="E214" s="904"/>
      <c r="F214" s="904"/>
      <c r="G214" s="904"/>
      <c r="H214" s="904"/>
      <c r="I214" s="904"/>
      <c r="J214" s="905"/>
      <c r="K214" s="163"/>
    </row>
    <row r="215" spans="1:11" customFormat="1" ht="15.75">
      <c r="B215" s="300" t="s">
        <v>1417</v>
      </c>
      <c r="C215" s="232"/>
      <c r="D215" s="232"/>
      <c r="E215" s="232"/>
      <c r="F215" s="232"/>
      <c r="G215" s="232"/>
      <c r="H215" s="232"/>
      <c r="I215" s="225"/>
      <c r="J215" s="132"/>
    </row>
    <row r="216" spans="1:11" customFormat="1"/>
    <row r="217" spans="1:11" s="4" customFormat="1" ht="15.75">
      <c r="B217" s="50" t="s">
        <v>1431</v>
      </c>
      <c r="C217" s="223"/>
      <c r="D217" s="49"/>
      <c r="E217" s="49"/>
      <c r="F217" s="49"/>
      <c r="G217" s="49"/>
      <c r="H217" s="49"/>
      <c r="I217" s="49"/>
    </row>
    <row r="218" spans="1:11" s="4" customFormat="1" ht="15.75">
      <c r="B218" s="226"/>
      <c r="C218" s="226"/>
      <c r="D218" s="226"/>
      <c r="E218" s="226"/>
      <c r="F218" s="226"/>
      <c r="G218" s="226"/>
      <c r="H218" s="226"/>
      <c r="I218" s="51"/>
    </row>
    <row r="219" spans="1:11" s="4" customFormat="1" ht="58.5" customHeight="1">
      <c r="B219" s="883"/>
      <c r="C219" s="884"/>
      <c r="D219" s="884"/>
      <c r="E219" s="884"/>
      <c r="F219" s="884"/>
      <c r="G219" s="884"/>
      <c r="H219" s="884"/>
      <c r="I219" s="884"/>
      <c r="J219" s="884"/>
      <c r="K219" s="144"/>
    </row>
    <row r="220" spans="1:11" s="4" customFormat="1" ht="15.75">
      <c r="B220" s="300" t="s">
        <v>1417</v>
      </c>
      <c r="C220" s="232"/>
      <c r="D220" s="232"/>
      <c r="E220" s="232"/>
      <c r="F220" s="232"/>
      <c r="G220" s="232"/>
      <c r="H220" s="232"/>
      <c r="I220" s="225"/>
      <c r="J220" s="132"/>
    </row>
    <row r="221" spans="1:11" customFormat="1"/>
    <row r="222" spans="1:11" customFormat="1"/>
    <row r="223" spans="1:11" customFormat="1"/>
    <row r="224" spans="1:11" customFormat="1"/>
    <row r="225" customFormat="1" ht="30" customHeight="1"/>
    <row r="226" customFormat="1"/>
    <row r="227" customFormat="1" ht="16.5" customHeight="1"/>
    <row r="228" customFormat="1"/>
    <row r="229" customFormat="1" ht="15" customHeight="1"/>
    <row r="230" customFormat="1" ht="15.75" customHeight="1"/>
    <row r="231" customFormat="1"/>
    <row r="232" customFormat="1" ht="15.75" customHeight="1"/>
    <row r="233" customFormat="1"/>
    <row r="234" customFormat="1" ht="15.75" customHeight="1"/>
    <row r="235" customFormat="1"/>
    <row r="236" customFormat="1" ht="15.75" customHeight="1"/>
    <row r="237" customFormat="1"/>
    <row r="238" customFormat="1" ht="15.75" customHeight="1"/>
    <row r="239" customFormat="1"/>
    <row r="240" customFormat="1" ht="15.75" customHeight="1"/>
    <row r="241" customFormat="1"/>
    <row r="242" customFormat="1" ht="15.75" customHeight="1"/>
    <row r="243" customFormat="1"/>
    <row r="244" customFormat="1" ht="15.75" customHeight="1"/>
    <row r="245" customFormat="1"/>
    <row r="246" customFormat="1" ht="15.75" customHeight="1"/>
    <row r="247" customFormat="1"/>
    <row r="248" customFormat="1" ht="15.75" customHeight="1"/>
    <row r="249" customFormat="1"/>
    <row r="250" customFormat="1" ht="15.75" customHeight="1"/>
    <row r="251" customFormat="1"/>
    <row r="252" customFormat="1" ht="15.75" customHeight="1"/>
    <row r="253" customFormat="1"/>
    <row r="254" customFormat="1" ht="15.75" customHeight="1"/>
    <row r="255" customFormat="1"/>
    <row r="256" customFormat="1" ht="15.75" customHeight="1"/>
    <row r="257" customFormat="1"/>
    <row r="258" customFormat="1" ht="15.75" customHeight="1"/>
    <row r="259" customFormat="1"/>
    <row r="260" customFormat="1" ht="15.75" customHeight="1"/>
    <row r="261" customFormat="1"/>
    <row r="262" customFormat="1" ht="15.75" customHeight="1"/>
    <row r="263" customFormat="1"/>
    <row r="264" customFormat="1" ht="15.75" customHeight="1"/>
    <row r="265" customFormat="1"/>
    <row r="266" customFormat="1" ht="15.75" customHeight="1"/>
    <row r="267" customFormat="1"/>
    <row r="268" customFormat="1" ht="15.75" customHeight="1"/>
    <row r="269" customFormat="1"/>
    <row r="270" customFormat="1" ht="15.75" customHeight="1"/>
    <row r="271" customFormat="1"/>
    <row r="272" customFormat="1" ht="15.75" customHeight="1"/>
    <row r="273" customFormat="1"/>
    <row r="274" customFormat="1" ht="15.75" customHeight="1"/>
    <row r="275" customFormat="1"/>
    <row r="276" customFormat="1" ht="15.75" customHeight="1"/>
    <row r="277" customFormat="1"/>
    <row r="278" customFormat="1" ht="15.75" customHeight="1"/>
    <row r="279" customFormat="1"/>
    <row r="280" customFormat="1" ht="15.75" customHeight="1"/>
    <row r="281" customFormat="1"/>
    <row r="282" customFormat="1" ht="15.75" customHeight="1"/>
    <row r="283" customFormat="1"/>
    <row r="284" customFormat="1" ht="15.75" customHeight="1"/>
    <row r="285" customFormat="1"/>
    <row r="286" customFormat="1" ht="15.75" customHeight="1"/>
    <row r="287" customFormat="1"/>
    <row r="288" customFormat="1" ht="15.75" customHeight="1"/>
    <row r="289" customFormat="1"/>
    <row r="290" customFormat="1" ht="15.75" customHeight="1"/>
    <row r="291" customFormat="1"/>
    <row r="292" customFormat="1" ht="15.75" customHeight="1"/>
    <row r="293" customFormat="1"/>
    <row r="294" customFormat="1" ht="15.75" customHeight="1"/>
    <row r="295" customFormat="1"/>
    <row r="296" customFormat="1" ht="15.75" customHeight="1"/>
    <row r="297" customFormat="1"/>
    <row r="298" customFormat="1" ht="15.75" customHeight="1"/>
    <row r="299" customFormat="1"/>
    <row r="300" customFormat="1" ht="15.75" customHeight="1"/>
    <row r="301" customFormat="1"/>
    <row r="302" customFormat="1" ht="15.75" customHeight="1"/>
    <row r="303" customFormat="1"/>
    <row r="304" customFormat="1" ht="15.75" customHeight="1"/>
    <row r="305" customFormat="1"/>
    <row r="306" customFormat="1" ht="15.75" customHeight="1"/>
    <row r="307" customFormat="1"/>
    <row r="308" customFormat="1" ht="15.75" customHeight="1"/>
    <row r="309" customFormat="1"/>
    <row r="310" customFormat="1" ht="15.75" customHeight="1"/>
    <row r="311" customFormat="1"/>
    <row r="312" customFormat="1" ht="15.75" customHeight="1"/>
    <row r="313" customFormat="1"/>
    <row r="314" customFormat="1" ht="15.75" customHeight="1"/>
    <row r="315" customFormat="1"/>
    <row r="316" customFormat="1" ht="15.75" customHeight="1"/>
    <row r="317" customFormat="1"/>
    <row r="318" customFormat="1" ht="15.75" customHeight="1"/>
    <row r="319" customFormat="1"/>
    <row r="320" customFormat="1" ht="15.75" customHeight="1"/>
    <row r="321" customFormat="1"/>
    <row r="322" customFormat="1" ht="15.75" customHeight="1"/>
    <row r="323" customFormat="1"/>
    <row r="324" customFormat="1" ht="15.75" customHeight="1"/>
    <row r="325" customFormat="1"/>
    <row r="326" customFormat="1" ht="15.75" customHeight="1"/>
    <row r="327" customFormat="1"/>
    <row r="328" customFormat="1" ht="15.75" customHeight="1"/>
    <row r="329" customFormat="1"/>
    <row r="330" customFormat="1" ht="15.75" customHeight="1"/>
    <row r="331" customFormat="1"/>
    <row r="332" customFormat="1" ht="15.75" customHeight="1"/>
    <row r="333" customFormat="1"/>
    <row r="334" customFormat="1" ht="15.75" customHeight="1"/>
    <row r="335" customFormat="1"/>
    <row r="336" customFormat="1" ht="15.75" customHeight="1"/>
    <row r="337" customFormat="1"/>
    <row r="338" customFormat="1" ht="15.75" customHeight="1"/>
    <row r="339" customFormat="1"/>
    <row r="340" customFormat="1" ht="15.75" customHeight="1"/>
    <row r="341" customFormat="1"/>
    <row r="342" customFormat="1" ht="15.75" customHeight="1"/>
    <row r="343" customFormat="1"/>
    <row r="344" customFormat="1" ht="15.75" customHeight="1"/>
    <row r="345" customFormat="1"/>
    <row r="346" customFormat="1" ht="15.75" customHeight="1"/>
    <row r="347" customFormat="1"/>
    <row r="348" customFormat="1" ht="15.75" customHeight="1"/>
    <row r="349" customFormat="1"/>
    <row r="350" customFormat="1" ht="15.75" customHeight="1"/>
    <row r="351" customFormat="1"/>
    <row r="352" customFormat="1" ht="15.75" customHeight="1"/>
    <row r="353" customFormat="1"/>
    <row r="354" customFormat="1" ht="15.75" customHeight="1"/>
    <row r="355" customFormat="1"/>
    <row r="356" customFormat="1" ht="15.75" customHeight="1"/>
    <row r="357" customFormat="1"/>
    <row r="358" customFormat="1" ht="15.75" customHeight="1"/>
    <row r="359" customFormat="1"/>
    <row r="360" customFormat="1" ht="15.75" customHeight="1"/>
    <row r="361" customFormat="1"/>
    <row r="362" customFormat="1" ht="15.75" customHeight="1"/>
    <row r="363" customFormat="1"/>
    <row r="364" customFormat="1" ht="15.75" customHeight="1"/>
    <row r="365" customFormat="1"/>
    <row r="366" customFormat="1" ht="15.75" customHeight="1"/>
    <row r="367" customFormat="1"/>
    <row r="368" customFormat="1" ht="15.75" customHeight="1"/>
    <row r="369" customFormat="1"/>
    <row r="370" customFormat="1" ht="15.75" customHeight="1"/>
    <row r="371" customFormat="1"/>
    <row r="372" customFormat="1" ht="15.75" customHeight="1"/>
    <row r="373" customFormat="1"/>
    <row r="374" customFormat="1" ht="15.75" customHeight="1"/>
    <row r="375" customFormat="1"/>
    <row r="376" customFormat="1" ht="15.75" customHeight="1"/>
    <row r="377" customFormat="1"/>
    <row r="378" customFormat="1" ht="15.75" customHeight="1"/>
    <row r="379" customFormat="1"/>
    <row r="380" customFormat="1" ht="15.75" customHeight="1"/>
    <row r="381" customFormat="1"/>
    <row r="382" customFormat="1" ht="15.75" customHeight="1"/>
    <row r="383" customFormat="1"/>
    <row r="384" customFormat="1" ht="15.75" customHeight="1"/>
    <row r="385" customFormat="1"/>
    <row r="386" customFormat="1" ht="15.75" customHeight="1"/>
    <row r="387" customFormat="1"/>
    <row r="388" customFormat="1" ht="15.75" customHeight="1"/>
    <row r="389" customFormat="1"/>
    <row r="390" customFormat="1" ht="15.75" customHeight="1"/>
    <row r="391" customFormat="1"/>
    <row r="392" customFormat="1" ht="15.75" customHeight="1"/>
    <row r="393" customFormat="1"/>
    <row r="394" customFormat="1" ht="15.75" customHeight="1"/>
    <row r="395" customFormat="1"/>
    <row r="396" customFormat="1" ht="15.75" customHeight="1"/>
    <row r="397" customFormat="1"/>
    <row r="398" customFormat="1" ht="15.75" customHeight="1"/>
    <row r="399" customFormat="1"/>
    <row r="400" customFormat="1" ht="15.75" customHeight="1"/>
    <row r="401" customFormat="1"/>
    <row r="402" customFormat="1" ht="15.75" customHeight="1"/>
    <row r="403" customFormat="1"/>
    <row r="404" customFormat="1" ht="15.75" customHeight="1"/>
    <row r="405" customFormat="1"/>
    <row r="406" customFormat="1" ht="15.75" customHeight="1"/>
    <row r="407" customFormat="1"/>
    <row r="408" customFormat="1" ht="15.75" customHeight="1"/>
    <row r="409" customFormat="1"/>
    <row r="410" customFormat="1" ht="15.75" customHeight="1"/>
    <row r="411" customFormat="1"/>
    <row r="412" customFormat="1" ht="15.75" customHeight="1"/>
    <row r="413" customFormat="1"/>
    <row r="414" customFormat="1" ht="15.75" customHeight="1"/>
    <row r="415" customFormat="1"/>
    <row r="416" customFormat="1" ht="15.75" customHeight="1"/>
    <row r="417" customFormat="1"/>
    <row r="418" customFormat="1" ht="15.75" customHeight="1"/>
    <row r="419" customFormat="1"/>
    <row r="420" customFormat="1" ht="15.75" customHeight="1"/>
    <row r="421" customFormat="1"/>
    <row r="422" customFormat="1" ht="15.75" customHeight="1"/>
    <row r="423" customFormat="1"/>
    <row r="424" customFormat="1" ht="15.75" customHeight="1"/>
    <row r="425" customFormat="1"/>
    <row r="426" customFormat="1" ht="15.75" customHeight="1"/>
    <row r="427" customFormat="1"/>
    <row r="428" customFormat="1" ht="15.75" customHeight="1"/>
    <row r="429" customFormat="1"/>
    <row r="430" customFormat="1"/>
    <row r="431" customFormat="1" ht="75" customHeight="1"/>
    <row r="432" customFormat="1"/>
    <row r="433" customFormat="1"/>
    <row r="434" customFormat="1"/>
    <row r="435" customFormat="1"/>
    <row r="436" customFormat="1"/>
    <row r="437" customFormat="1" ht="30" customHeight="1"/>
    <row r="438" customFormat="1"/>
    <row r="439" customFormat="1" ht="16.5" customHeight="1"/>
    <row r="440" customFormat="1"/>
    <row r="441" customFormat="1" ht="15" customHeight="1"/>
    <row r="442" customFormat="1" ht="15.75" customHeight="1"/>
    <row r="443" customFormat="1"/>
    <row r="444" customFormat="1" ht="15.75" customHeight="1"/>
    <row r="445" customFormat="1"/>
    <row r="446" customFormat="1" ht="15.75" customHeight="1"/>
    <row r="447" customFormat="1"/>
    <row r="448" customFormat="1" ht="15.75" customHeight="1"/>
    <row r="449" customFormat="1"/>
    <row r="450" customFormat="1" ht="15.75" customHeight="1"/>
    <row r="451" customFormat="1"/>
    <row r="452" customFormat="1" ht="15.75" customHeight="1"/>
    <row r="453" customFormat="1"/>
    <row r="454" customFormat="1" ht="15.75" customHeight="1"/>
    <row r="455" customFormat="1"/>
    <row r="456" customFormat="1" ht="15.75" customHeight="1"/>
    <row r="457" customFormat="1"/>
    <row r="458" customFormat="1" ht="15.75" customHeight="1"/>
    <row r="459" customFormat="1"/>
    <row r="460" customFormat="1" ht="15.75" customHeight="1"/>
    <row r="461" customFormat="1"/>
    <row r="462" customFormat="1" ht="15.75" customHeight="1"/>
    <row r="463" customFormat="1"/>
    <row r="464" customFormat="1" ht="15.75" customHeight="1"/>
    <row r="465" customFormat="1"/>
    <row r="466" customFormat="1" ht="15.75" customHeight="1"/>
    <row r="467" customFormat="1"/>
    <row r="468" customFormat="1" ht="15.75" customHeight="1"/>
    <row r="469" customFormat="1"/>
    <row r="470" customFormat="1" ht="15.75" customHeight="1"/>
    <row r="471" customFormat="1"/>
    <row r="472" customFormat="1" ht="15.75" customHeight="1"/>
    <row r="473" customFormat="1"/>
    <row r="474" customFormat="1" ht="15.75" customHeight="1"/>
    <row r="475" customFormat="1"/>
    <row r="476" customFormat="1" ht="15.75" customHeight="1"/>
    <row r="477" customFormat="1"/>
    <row r="478" customFormat="1" ht="15.75" customHeight="1"/>
    <row r="479" customFormat="1"/>
    <row r="480" customFormat="1" ht="15.75" customHeight="1"/>
    <row r="481" customFormat="1"/>
    <row r="482" customFormat="1" ht="15.75" customHeight="1"/>
    <row r="483" customFormat="1"/>
    <row r="484" customFormat="1" ht="15.75" customHeight="1"/>
    <row r="485" customFormat="1"/>
    <row r="486" customFormat="1" ht="15.75" customHeight="1"/>
    <row r="487" customFormat="1"/>
    <row r="488" customFormat="1" ht="15.75" customHeight="1"/>
    <row r="489" customFormat="1"/>
    <row r="490" customFormat="1" ht="15.75" customHeight="1"/>
    <row r="491" customFormat="1"/>
    <row r="492" customFormat="1" ht="15.75" customHeight="1"/>
    <row r="493" customFormat="1"/>
    <row r="494" customFormat="1" ht="15.75" customHeight="1"/>
    <row r="495" customFormat="1"/>
    <row r="496" customFormat="1" ht="15.75" customHeight="1"/>
    <row r="497" customFormat="1"/>
    <row r="498" customFormat="1" ht="15.75" customHeight="1"/>
    <row r="499" customFormat="1"/>
    <row r="500" customFormat="1" ht="15.75" customHeight="1"/>
    <row r="501" customFormat="1"/>
    <row r="502" customFormat="1" ht="15.75" customHeight="1"/>
    <row r="503" customFormat="1"/>
    <row r="504" customFormat="1" ht="15.75" customHeight="1"/>
    <row r="505" customFormat="1"/>
    <row r="506" customFormat="1" ht="15.75" customHeight="1"/>
    <row r="507" customFormat="1"/>
    <row r="508" customFormat="1" ht="15.75" customHeight="1"/>
    <row r="509" customFormat="1"/>
    <row r="510" customFormat="1" ht="15.75" customHeight="1"/>
    <row r="511" customFormat="1"/>
    <row r="512" customFormat="1" ht="15.75" customHeight="1"/>
    <row r="513" customFormat="1"/>
    <row r="514" customFormat="1" ht="15.75" customHeight="1"/>
    <row r="515" customFormat="1"/>
    <row r="516" customFormat="1" ht="15.75" customHeight="1"/>
    <row r="517" customFormat="1"/>
    <row r="518" customFormat="1" ht="15.75" customHeight="1"/>
    <row r="519" customFormat="1"/>
    <row r="520" customFormat="1" ht="15.75" customHeight="1"/>
    <row r="521" customFormat="1"/>
    <row r="522" customFormat="1" ht="15.75" customHeight="1"/>
    <row r="523" customFormat="1"/>
    <row r="524" customFormat="1" ht="15.75" customHeight="1"/>
    <row r="525" customFormat="1"/>
    <row r="526" customFormat="1" ht="15.75" customHeight="1"/>
    <row r="527" customFormat="1"/>
    <row r="528" customFormat="1" ht="15.75" customHeight="1"/>
    <row r="529" customFormat="1"/>
    <row r="530" customFormat="1" ht="15.75" customHeight="1"/>
    <row r="531" customFormat="1"/>
    <row r="532" customFormat="1" ht="15.75" customHeight="1"/>
    <row r="533" customFormat="1"/>
    <row r="534" customFormat="1" ht="15.75" customHeight="1"/>
    <row r="535" customFormat="1"/>
    <row r="536" customFormat="1" ht="15.75" customHeight="1"/>
    <row r="537" customFormat="1"/>
    <row r="538" customFormat="1" ht="15.75" customHeight="1"/>
    <row r="539" customFormat="1"/>
    <row r="540" customFormat="1" ht="15.75" customHeight="1"/>
    <row r="541" customFormat="1"/>
    <row r="542" customFormat="1" ht="15.75" customHeight="1"/>
    <row r="543" customFormat="1"/>
    <row r="544" customFormat="1" ht="15.75" customHeight="1"/>
    <row r="545" customFormat="1"/>
    <row r="546" customFormat="1" ht="15.75" customHeight="1"/>
    <row r="547" customFormat="1"/>
    <row r="548" customFormat="1" ht="15.75" customHeight="1"/>
    <row r="549" customFormat="1"/>
    <row r="550" customFormat="1" ht="15.75" customHeight="1"/>
    <row r="551" customFormat="1"/>
    <row r="552" customFormat="1" ht="15.75" customHeight="1"/>
    <row r="553" customFormat="1"/>
    <row r="554" customFormat="1" ht="15.75" customHeight="1"/>
    <row r="555" customFormat="1"/>
    <row r="556" customFormat="1" ht="15.75" customHeight="1"/>
    <row r="557" customFormat="1"/>
    <row r="558" customFormat="1" ht="15.75" customHeight="1"/>
    <row r="559" customFormat="1"/>
    <row r="560" customFormat="1" ht="15.75" customHeight="1"/>
    <row r="561" customFormat="1"/>
    <row r="562" customFormat="1" ht="15.75" customHeight="1"/>
    <row r="563" customFormat="1"/>
    <row r="564" customFormat="1" ht="15.75" customHeight="1"/>
    <row r="565" customFormat="1"/>
    <row r="566" customFormat="1" ht="15.75" customHeight="1"/>
    <row r="567" customFormat="1"/>
    <row r="568" customFormat="1" ht="15.75" customHeight="1"/>
    <row r="569" customFormat="1"/>
    <row r="570" customFormat="1" ht="15.75" customHeight="1"/>
    <row r="571" customFormat="1"/>
    <row r="572" customFormat="1" ht="15.75" customHeight="1"/>
    <row r="573" customFormat="1"/>
    <row r="574" customFormat="1" ht="15.75" customHeight="1"/>
    <row r="575" customFormat="1"/>
    <row r="576" customFormat="1" ht="15.75" customHeight="1"/>
    <row r="577" customFormat="1"/>
    <row r="578" customFormat="1" ht="15.75" customHeight="1"/>
    <row r="579" customFormat="1"/>
    <row r="580" customFormat="1" ht="15.75" customHeight="1"/>
    <row r="581" customFormat="1"/>
    <row r="582" customFormat="1" ht="15.75" customHeight="1"/>
    <row r="583" customFormat="1"/>
    <row r="584" customFormat="1" ht="15.75" customHeight="1"/>
    <row r="585" customFormat="1"/>
    <row r="586" customFormat="1" ht="15.75" customHeight="1"/>
    <row r="587" customFormat="1"/>
    <row r="588" customFormat="1" ht="15.75" customHeight="1"/>
    <row r="589" customFormat="1"/>
    <row r="590" customFormat="1" ht="15.75" customHeight="1"/>
    <row r="591" customFormat="1"/>
    <row r="592" customFormat="1" ht="15.75" customHeight="1"/>
    <row r="593" customFormat="1"/>
    <row r="594" customFormat="1" ht="15.75" customHeight="1"/>
    <row r="595" customFormat="1"/>
    <row r="596" customFormat="1" ht="15.75" customHeight="1"/>
    <row r="597" customFormat="1"/>
    <row r="598" customFormat="1" ht="15.75" customHeight="1"/>
    <row r="599" customFormat="1"/>
    <row r="600" customFormat="1" ht="15.75" customHeight="1"/>
    <row r="601" customFormat="1"/>
    <row r="602" customFormat="1" ht="15.75" customHeight="1"/>
    <row r="603" customFormat="1"/>
    <row r="604" customFormat="1" ht="15.75" customHeight="1"/>
    <row r="605" customFormat="1"/>
    <row r="606" customFormat="1" ht="15.75" customHeight="1"/>
    <row r="607" customFormat="1"/>
    <row r="608" customFormat="1" ht="15.75" customHeight="1"/>
    <row r="609" customFormat="1"/>
    <row r="610" customFormat="1" ht="15.75" customHeight="1"/>
    <row r="611" customFormat="1"/>
    <row r="612" customFormat="1" ht="15.75" customHeight="1"/>
    <row r="613" customFormat="1"/>
    <row r="614" customFormat="1" ht="15.75" customHeight="1"/>
    <row r="615" customFormat="1"/>
    <row r="616" customFormat="1" ht="15.75" customHeight="1"/>
    <row r="617" customFormat="1"/>
    <row r="618" customFormat="1" ht="15.75" customHeight="1"/>
    <row r="619" customFormat="1"/>
    <row r="620" customFormat="1" ht="15.75" customHeight="1"/>
    <row r="621" customFormat="1"/>
    <row r="622" customFormat="1" ht="15.75" customHeight="1"/>
    <row r="623" customFormat="1"/>
    <row r="624" customFormat="1" ht="15.75" customHeight="1"/>
    <row r="625" customFormat="1"/>
    <row r="626" customFormat="1" ht="15.75" customHeight="1"/>
    <row r="627" customFormat="1"/>
    <row r="628" customFormat="1" ht="15.75" customHeight="1"/>
    <row r="629" customFormat="1"/>
    <row r="630" customFormat="1" ht="15.75" customHeight="1"/>
    <row r="631" customFormat="1"/>
    <row r="632" customFormat="1" ht="15.75" customHeight="1"/>
    <row r="633" customFormat="1"/>
    <row r="634" customFormat="1" ht="15.75" customHeight="1"/>
    <row r="635" customFormat="1"/>
    <row r="636" customFormat="1" ht="15.75" customHeight="1"/>
    <row r="637" customFormat="1"/>
    <row r="638" customFormat="1" ht="15.75" customHeight="1"/>
    <row r="639" customFormat="1"/>
    <row r="640" customFormat="1" ht="15.75" customHeight="1"/>
    <row r="641" customFormat="1"/>
    <row r="642" customFormat="1"/>
    <row r="643" customFormat="1" ht="75" customHeight="1"/>
    <row r="644" customFormat="1"/>
    <row r="645" customFormat="1"/>
    <row r="646" customFormat="1"/>
    <row r="647" customFormat="1"/>
    <row r="648" customFormat="1"/>
    <row r="649" customFormat="1" ht="30" customHeight="1"/>
    <row r="650" customFormat="1"/>
    <row r="651" customFormat="1" ht="16.5" customHeight="1"/>
    <row r="652" customFormat="1"/>
    <row r="653" customFormat="1" ht="15" customHeight="1"/>
    <row r="654" customFormat="1" ht="15.75" customHeight="1"/>
    <row r="655" customFormat="1"/>
    <row r="656" customFormat="1" ht="15.75" customHeight="1"/>
    <row r="657" customFormat="1"/>
    <row r="658" customFormat="1" ht="15.75" customHeight="1"/>
    <row r="659" customFormat="1"/>
    <row r="660" customFormat="1" ht="15.75" customHeight="1"/>
    <row r="661" customFormat="1"/>
    <row r="662" customFormat="1" ht="15.75" customHeight="1"/>
    <row r="663" customFormat="1"/>
    <row r="664" customFormat="1" ht="15.75" customHeight="1"/>
    <row r="665" customFormat="1"/>
    <row r="666" customFormat="1" ht="15.75" customHeight="1"/>
    <row r="667" customFormat="1"/>
    <row r="668" customFormat="1" ht="15.75" customHeight="1"/>
    <row r="669" customFormat="1"/>
    <row r="670" customFormat="1" ht="15.75" customHeight="1"/>
    <row r="671" customFormat="1"/>
    <row r="672" customFormat="1" ht="15.75" customHeight="1"/>
    <row r="673" customFormat="1"/>
    <row r="674" customFormat="1" ht="15.75" customHeight="1"/>
    <row r="675" customFormat="1"/>
    <row r="676" customFormat="1" ht="15.75" customHeight="1"/>
    <row r="677" customFormat="1"/>
    <row r="678" customFormat="1" ht="15.75" customHeight="1"/>
    <row r="679" customFormat="1"/>
    <row r="680" customFormat="1" ht="15.75" customHeight="1"/>
    <row r="681" customFormat="1"/>
    <row r="682" customFormat="1" ht="15.75" customHeight="1"/>
    <row r="683" customFormat="1"/>
    <row r="684" customFormat="1" ht="15.75" customHeight="1"/>
    <row r="685" customFormat="1"/>
    <row r="686" customFormat="1" ht="15.75" customHeight="1"/>
    <row r="687" customFormat="1"/>
    <row r="688" customFormat="1" ht="15.75" customHeight="1"/>
    <row r="689" customFormat="1"/>
    <row r="690" customFormat="1" ht="15.75" customHeight="1"/>
    <row r="691" customFormat="1"/>
    <row r="692" customFormat="1" ht="15.75" customHeight="1"/>
    <row r="693" customFormat="1"/>
    <row r="694" customFormat="1" ht="15.75" customHeight="1"/>
    <row r="695" customFormat="1"/>
    <row r="696" customFormat="1" ht="15.75" customHeight="1"/>
    <row r="697" customFormat="1"/>
    <row r="698" customFormat="1" ht="15.75" customHeight="1"/>
    <row r="699" customFormat="1"/>
    <row r="700" customFormat="1" ht="15.75" customHeight="1"/>
    <row r="701" customFormat="1"/>
    <row r="702" customFormat="1" ht="15.75" customHeight="1"/>
    <row r="703" customFormat="1"/>
    <row r="704" customFormat="1" ht="15.75" customHeight="1"/>
    <row r="705" customFormat="1"/>
    <row r="706" customFormat="1" ht="15.75" customHeight="1"/>
    <row r="707" customFormat="1"/>
    <row r="708" customFormat="1" ht="15.75" customHeight="1"/>
    <row r="709" customFormat="1"/>
    <row r="710" customFormat="1" ht="15.75" customHeight="1"/>
    <row r="711" customFormat="1"/>
    <row r="712" customFormat="1" ht="15.75" customHeight="1"/>
    <row r="713" customFormat="1"/>
    <row r="714" customFormat="1" ht="15.75" customHeight="1"/>
    <row r="715" customFormat="1"/>
    <row r="716" customFormat="1" ht="15.75" customHeight="1"/>
    <row r="717" customFormat="1"/>
    <row r="718" customFormat="1" ht="15.75" customHeight="1"/>
    <row r="719" customFormat="1"/>
    <row r="720" customFormat="1" ht="15.75" customHeight="1"/>
    <row r="721" customFormat="1"/>
    <row r="722" customFormat="1" ht="15.75" customHeight="1"/>
    <row r="723" customFormat="1"/>
    <row r="724" customFormat="1" ht="15.75" customHeight="1"/>
    <row r="725" customFormat="1"/>
    <row r="726" customFormat="1" ht="15.75" customHeight="1"/>
    <row r="727" customFormat="1"/>
    <row r="728" customFormat="1" ht="15.75" customHeight="1"/>
    <row r="729" customFormat="1"/>
    <row r="730" customFormat="1" ht="15.75" customHeight="1"/>
    <row r="731" customFormat="1"/>
    <row r="732" customFormat="1" ht="15.75" customHeight="1"/>
    <row r="733" customFormat="1"/>
    <row r="734" customFormat="1" ht="15.75" customHeight="1"/>
    <row r="735" customFormat="1"/>
    <row r="736" customFormat="1" ht="15.75" customHeight="1"/>
    <row r="737" customFormat="1"/>
    <row r="738" customFormat="1" ht="15.75" customHeight="1"/>
    <row r="739" customFormat="1"/>
    <row r="740" customFormat="1" ht="15.75" customHeight="1"/>
    <row r="741" customFormat="1"/>
    <row r="742" customFormat="1" ht="15.75" customHeight="1"/>
    <row r="743" customFormat="1"/>
    <row r="744" customFormat="1" ht="15.75" customHeight="1"/>
    <row r="745" customFormat="1"/>
    <row r="746" customFormat="1" ht="15.75" customHeight="1"/>
    <row r="747" customFormat="1"/>
    <row r="748" customFormat="1" ht="15.75" customHeight="1"/>
    <row r="749" customFormat="1"/>
    <row r="750" customFormat="1" ht="15.75" customHeight="1"/>
    <row r="751" customFormat="1"/>
    <row r="752" customFormat="1" ht="15.75" customHeight="1"/>
    <row r="753" customFormat="1"/>
    <row r="754" customFormat="1" ht="15.75" customHeight="1"/>
    <row r="755" customFormat="1"/>
    <row r="756" customFormat="1" ht="15.75" customHeight="1"/>
    <row r="757" customFormat="1"/>
    <row r="758" customFormat="1" ht="15.75" customHeight="1"/>
    <row r="759" customFormat="1"/>
    <row r="760" customFormat="1" ht="15.75" customHeight="1"/>
    <row r="761" customFormat="1"/>
    <row r="762" customFormat="1" ht="15.75" customHeight="1"/>
    <row r="763" customFormat="1"/>
    <row r="764" customFormat="1" ht="15.75" customHeight="1"/>
    <row r="765" customFormat="1"/>
    <row r="766" customFormat="1" ht="15.75" customHeight="1"/>
    <row r="767" customFormat="1"/>
    <row r="768" customFormat="1" ht="15.75" customHeight="1"/>
    <row r="769" customFormat="1"/>
    <row r="770" customFormat="1" ht="15.75" customHeight="1"/>
    <row r="771" customFormat="1"/>
    <row r="772" customFormat="1" ht="15.75" customHeight="1"/>
    <row r="773" customFormat="1"/>
    <row r="774" customFormat="1" ht="15.75" customHeight="1"/>
    <row r="775" customFormat="1"/>
    <row r="776" customFormat="1" ht="15.75" customHeight="1"/>
    <row r="777" customFormat="1"/>
    <row r="778" customFormat="1" ht="15.75" customHeight="1"/>
    <row r="779" customFormat="1"/>
    <row r="780" customFormat="1" ht="15.75" customHeight="1"/>
    <row r="781" customFormat="1"/>
    <row r="782" customFormat="1" ht="15.75" customHeight="1"/>
    <row r="783" customFormat="1"/>
    <row r="784" customFormat="1" ht="15.75" customHeight="1"/>
    <row r="785" customFormat="1"/>
    <row r="786" customFormat="1" ht="15.75" customHeight="1"/>
    <row r="787" customFormat="1"/>
    <row r="788" customFormat="1" ht="15.75" customHeight="1"/>
    <row r="789" customFormat="1"/>
    <row r="790" customFormat="1" ht="15.75" customHeight="1"/>
    <row r="791" customFormat="1"/>
    <row r="792" customFormat="1" ht="15.75" customHeight="1"/>
    <row r="793" customFormat="1"/>
    <row r="794" customFormat="1" ht="15.75" customHeight="1"/>
    <row r="795" customFormat="1"/>
    <row r="796" customFormat="1" ht="15.75" customHeight="1"/>
    <row r="797" customFormat="1"/>
    <row r="798" customFormat="1" ht="15.75" customHeight="1"/>
    <row r="799" customFormat="1"/>
    <row r="800" customFormat="1" ht="15.75" customHeight="1"/>
    <row r="801" customFormat="1"/>
    <row r="802" customFormat="1" ht="15.75" customHeight="1"/>
    <row r="803" customFormat="1"/>
    <row r="804" customFormat="1" ht="15.75" customHeight="1"/>
    <row r="805" customFormat="1"/>
    <row r="806" customFormat="1" ht="15.75" customHeight="1"/>
    <row r="807" customFormat="1"/>
    <row r="808" customFormat="1" ht="15.75" customHeight="1"/>
    <row r="809" customFormat="1"/>
    <row r="810" customFormat="1" ht="15.75" customHeight="1"/>
    <row r="811" customFormat="1"/>
    <row r="812" customFormat="1" ht="15.75" customHeight="1"/>
    <row r="813" customFormat="1"/>
    <row r="814" customFormat="1" ht="15.75" customHeight="1"/>
    <row r="815" customFormat="1"/>
    <row r="816" customFormat="1" ht="15.75" customHeight="1"/>
    <row r="817" customFormat="1"/>
    <row r="818" customFormat="1" ht="15.75" customHeight="1"/>
    <row r="819" customFormat="1"/>
    <row r="820" customFormat="1" ht="15.75" customHeight="1"/>
    <row r="821" customFormat="1"/>
    <row r="822" customFormat="1" ht="15.75" customHeight="1"/>
    <row r="823" customFormat="1"/>
    <row r="824" customFormat="1" ht="15.75" customHeight="1"/>
    <row r="825" customFormat="1"/>
    <row r="826" customFormat="1" ht="15.75" customHeight="1"/>
    <row r="827" customFormat="1"/>
    <row r="828" customFormat="1" ht="15.75" customHeight="1"/>
    <row r="829" customFormat="1"/>
    <row r="830" customFormat="1" ht="15.75" customHeight="1"/>
    <row r="831" customFormat="1"/>
    <row r="832" customFormat="1" ht="15.75" customHeight="1"/>
    <row r="833" customFormat="1"/>
    <row r="834" customFormat="1" ht="15.75" customHeight="1"/>
    <row r="835" customFormat="1"/>
    <row r="836" customFormat="1" ht="15.75" customHeight="1"/>
    <row r="837" customFormat="1"/>
    <row r="838" customFormat="1" ht="15.75" customHeight="1"/>
    <row r="839" customFormat="1"/>
    <row r="840" customFormat="1" ht="15.75" customHeight="1"/>
    <row r="841" customFormat="1"/>
    <row r="842" customFormat="1" ht="15.75" customHeight="1"/>
    <row r="843" customFormat="1"/>
    <row r="844" customFormat="1" ht="15.75" customHeight="1"/>
    <row r="845" customFormat="1"/>
    <row r="846" customFormat="1" ht="15.75" customHeight="1"/>
    <row r="847" customFormat="1"/>
    <row r="848" customFormat="1" ht="15.75" customHeight="1"/>
    <row r="849" customFormat="1"/>
    <row r="850" customFormat="1" ht="15.75" customHeight="1"/>
    <row r="851" customFormat="1"/>
    <row r="852" customFormat="1" ht="15.75" customHeight="1"/>
    <row r="853" customFormat="1"/>
    <row r="854" customFormat="1"/>
    <row r="855" customFormat="1" ht="75" customHeight="1"/>
    <row r="856" customFormat="1"/>
    <row r="857" customFormat="1"/>
    <row r="858" customFormat="1"/>
    <row r="859" customFormat="1"/>
    <row r="860" customFormat="1"/>
    <row r="861" customFormat="1" ht="30" customHeight="1"/>
    <row r="862" customFormat="1"/>
    <row r="863" customFormat="1" ht="16.5" customHeight="1"/>
    <row r="864" customFormat="1"/>
    <row r="865" customFormat="1" ht="15" customHeight="1"/>
    <row r="866" customFormat="1" ht="15.75" customHeight="1"/>
    <row r="867" customFormat="1"/>
    <row r="868" customFormat="1" ht="15.75" customHeight="1"/>
    <row r="869" customFormat="1"/>
    <row r="870" customFormat="1" ht="15.75" customHeight="1"/>
    <row r="871" customFormat="1"/>
    <row r="872" customFormat="1" ht="15.75" customHeight="1"/>
    <row r="873" customFormat="1"/>
    <row r="874" customFormat="1" ht="15.75" customHeight="1"/>
    <row r="875" customFormat="1"/>
    <row r="876" customFormat="1" ht="15.75" customHeight="1"/>
    <row r="877" customFormat="1"/>
    <row r="878" customFormat="1" ht="15.75" customHeight="1"/>
    <row r="879" customFormat="1"/>
    <row r="880" customFormat="1" ht="15.75" customHeight="1"/>
    <row r="881" customFormat="1"/>
    <row r="882" customFormat="1" ht="15.75" customHeight="1"/>
    <row r="883" customFormat="1"/>
    <row r="884" customFormat="1" ht="15.75" customHeight="1"/>
    <row r="885" customFormat="1"/>
    <row r="886" customFormat="1" ht="15.75" customHeight="1"/>
    <row r="887" customFormat="1"/>
    <row r="888" customFormat="1" ht="15.75" customHeight="1"/>
    <row r="889" customFormat="1"/>
    <row r="890" customFormat="1" ht="15.75" customHeight="1"/>
    <row r="891" customFormat="1"/>
    <row r="892" customFormat="1" ht="15.75" customHeight="1"/>
    <row r="893" customFormat="1"/>
    <row r="894" customFormat="1" ht="15.75" customHeight="1"/>
    <row r="895" customFormat="1"/>
    <row r="896" customFormat="1" ht="15.75" customHeight="1"/>
    <row r="897" customFormat="1"/>
    <row r="898" customFormat="1" ht="15.75" customHeight="1"/>
    <row r="899" customFormat="1"/>
    <row r="900" customFormat="1" ht="15.75" customHeight="1"/>
    <row r="901" customFormat="1"/>
    <row r="902" customFormat="1" ht="15.75" customHeight="1"/>
    <row r="903" customFormat="1"/>
    <row r="904" customFormat="1" ht="15.75" customHeight="1"/>
    <row r="905" customFormat="1"/>
    <row r="906" customFormat="1" ht="15.75" customHeight="1"/>
    <row r="907" customFormat="1"/>
    <row r="908" customFormat="1" ht="15.75" customHeight="1"/>
    <row r="909" customFormat="1"/>
    <row r="910" customFormat="1" ht="15.75" customHeight="1"/>
    <row r="911" customFormat="1"/>
    <row r="912" customFormat="1" ht="15.75" customHeight="1"/>
    <row r="913" customFormat="1"/>
    <row r="914" customFormat="1" ht="15.75" customHeight="1"/>
    <row r="915" customFormat="1"/>
    <row r="916" customFormat="1" ht="15.75" customHeight="1"/>
    <row r="917" customFormat="1"/>
    <row r="918" customFormat="1" ht="15.75" customHeight="1"/>
    <row r="919" customFormat="1"/>
    <row r="920" customFormat="1" ht="15.75" customHeight="1"/>
    <row r="921" customFormat="1"/>
    <row r="922" customFormat="1" ht="15.75" customHeight="1"/>
    <row r="923" customFormat="1"/>
    <row r="924" customFormat="1" ht="15.75" customHeight="1"/>
    <row r="925" customFormat="1"/>
    <row r="926" customFormat="1" ht="15.75" customHeight="1"/>
    <row r="927" customFormat="1"/>
    <row r="928" customFormat="1" ht="15.75" customHeight="1"/>
    <row r="929" customFormat="1"/>
    <row r="930" customFormat="1" ht="15.75" customHeight="1"/>
    <row r="931" customFormat="1"/>
    <row r="932" customFormat="1" ht="15.75" customHeight="1"/>
    <row r="933" customFormat="1"/>
    <row r="934" customFormat="1" ht="15.75" customHeight="1"/>
    <row r="935" customFormat="1"/>
    <row r="936" customFormat="1" ht="15.75" customHeight="1"/>
    <row r="937" customFormat="1"/>
    <row r="938" customFormat="1" ht="15.75" customHeight="1"/>
    <row r="939" customFormat="1"/>
    <row r="940" customFormat="1" ht="15.75" customHeight="1"/>
    <row r="941" customFormat="1"/>
    <row r="942" customFormat="1" ht="15.75" customHeight="1"/>
    <row r="943" customFormat="1"/>
    <row r="944" customFormat="1" ht="15.75" customHeight="1"/>
    <row r="945" customFormat="1"/>
    <row r="946" customFormat="1" ht="15.75" customHeight="1"/>
    <row r="947" customFormat="1"/>
    <row r="948" customFormat="1" ht="15.75" customHeight="1"/>
    <row r="949" customFormat="1"/>
    <row r="950" customFormat="1" ht="15.75" customHeight="1"/>
    <row r="951" customFormat="1"/>
    <row r="952" customFormat="1" ht="15.75" customHeight="1"/>
    <row r="953" customFormat="1"/>
    <row r="954" customFormat="1" ht="15.75" customHeight="1"/>
    <row r="955" customFormat="1"/>
    <row r="956" customFormat="1" ht="15.75" customHeight="1"/>
    <row r="957" customFormat="1"/>
    <row r="958" customFormat="1" ht="15.75" customHeight="1"/>
    <row r="959" customFormat="1"/>
    <row r="960" customFormat="1" ht="15.75" customHeight="1"/>
    <row r="961" customFormat="1"/>
    <row r="962" customFormat="1" ht="15.75" customHeight="1"/>
    <row r="963" customFormat="1"/>
    <row r="964" customFormat="1" ht="15.75" customHeight="1"/>
    <row r="965" customFormat="1"/>
    <row r="966" customFormat="1" ht="15.75" customHeight="1"/>
    <row r="967" customFormat="1"/>
    <row r="968" customFormat="1" ht="15.75" customHeight="1"/>
    <row r="969" customFormat="1"/>
    <row r="970" customFormat="1" ht="15.75" customHeight="1"/>
    <row r="971" customFormat="1"/>
    <row r="972" customFormat="1" ht="15.75" customHeight="1"/>
    <row r="973" customFormat="1"/>
    <row r="974" customFormat="1" ht="15.75" customHeight="1"/>
    <row r="975" customFormat="1"/>
    <row r="976" customFormat="1" ht="15.75" customHeight="1"/>
    <row r="977" customFormat="1"/>
    <row r="978" customFormat="1" ht="15.75" customHeight="1"/>
    <row r="979" customFormat="1"/>
    <row r="980" customFormat="1" ht="15.75" customHeight="1"/>
    <row r="981" customFormat="1"/>
    <row r="982" customFormat="1" ht="15.75" customHeight="1"/>
    <row r="983" customFormat="1"/>
    <row r="984" customFormat="1" ht="15.75" customHeight="1"/>
    <row r="985" customFormat="1"/>
    <row r="986" customFormat="1" ht="15.75" customHeight="1"/>
    <row r="987" customFormat="1"/>
    <row r="988" customFormat="1" ht="15.75" customHeight="1"/>
    <row r="989" customFormat="1"/>
    <row r="990" customFormat="1" ht="15.75" customHeight="1"/>
    <row r="991" customFormat="1"/>
    <row r="992" customFormat="1" ht="15.75" customHeight="1"/>
    <row r="993" customFormat="1"/>
    <row r="994" customFormat="1" ht="15.75" customHeight="1"/>
    <row r="995" customFormat="1"/>
    <row r="996" customFormat="1" ht="15.75" customHeight="1"/>
    <row r="997" customFormat="1"/>
    <row r="998" customFormat="1" ht="15.75" customHeight="1"/>
    <row r="999" customFormat="1"/>
    <row r="1000" customFormat="1" ht="15.75" customHeight="1"/>
    <row r="1001" customFormat="1"/>
    <row r="1002" customFormat="1" ht="15.75" customHeight="1"/>
    <row r="1003" customFormat="1"/>
    <row r="1004" customFormat="1" ht="15.75" customHeight="1"/>
    <row r="1005" customFormat="1"/>
    <row r="1006" customFormat="1" ht="15.75" customHeight="1"/>
    <row r="1007" customFormat="1"/>
    <row r="1008" customFormat="1" ht="15.75" customHeight="1"/>
    <row r="1009" customFormat="1"/>
    <row r="1010" customFormat="1" ht="15.75" customHeight="1"/>
    <row r="1011" customFormat="1"/>
    <row r="1012" customFormat="1" ht="15.75" customHeight="1"/>
    <row r="1013" customFormat="1"/>
    <row r="1014" customFormat="1" ht="15.75" customHeight="1"/>
    <row r="1015" customFormat="1"/>
    <row r="1016" customFormat="1" ht="15.75" customHeight="1"/>
    <row r="1017" customFormat="1"/>
    <row r="1018" customFormat="1" ht="15.75" customHeight="1"/>
    <row r="1019" customFormat="1"/>
    <row r="1020" customFormat="1" ht="15.75" customHeight="1"/>
    <row r="1021" customFormat="1"/>
    <row r="1022" customFormat="1" ht="15.75" customHeight="1"/>
    <row r="1023" customFormat="1"/>
    <row r="1024" customFormat="1" ht="15.75" customHeight="1"/>
    <row r="1025" customFormat="1"/>
    <row r="1026" customFormat="1" ht="15.75" customHeight="1"/>
    <row r="1027" customFormat="1"/>
    <row r="1028" customFormat="1" ht="15.75" customHeight="1"/>
    <row r="1029" customFormat="1"/>
    <row r="1030" customFormat="1" ht="15.75" customHeight="1"/>
    <row r="1031" customFormat="1"/>
    <row r="1032" customFormat="1" ht="15.75" customHeight="1"/>
    <row r="1033" customFormat="1"/>
    <row r="1034" customFormat="1" ht="15.75" customHeight="1"/>
    <row r="1035" customFormat="1"/>
    <row r="1036" customFormat="1" ht="15.75" customHeight="1"/>
    <row r="1037" customFormat="1"/>
    <row r="1038" customFormat="1" ht="15.75" customHeight="1"/>
    <row r="1039" customFormat="1"/>
    <row r="1040" customFormat="1" ht="15.75" customHeight="1"/>
    <row r="1041" customFormat="1"/>
    <row r="1042" customFormat="1" ht="15.75" customHeight="1"/>
    <row r="1043" customFormat="1"/>
    <row r="1044" customFormat="1" ht="15.75" customHeight="1"/>
    <row r="1045" customFormat="1"/>
    <row r="1046" customFormat="1" ht="15.75" customHeight="1"/>
    <row r="1047" customFormat="1"/>
    <row r="1048" customFormat="1" ht="15.75" customHeight="1"/>
    <row r="1049" customFormat="1"/>
    <row r="1050" customFormat="1" ht="15.75" customHeight="1"/>
    <row r="1051" customFormat="1"/>
    <row r="1052" customFormat="1" ht="15.75" customHeight="1"/>
    <row r="1053" customFormat="1"/>
    <row r="1054" customFormat="1" ht="15.75" customHeight="1"/>
    <row r="1055" customFormat="1"/>
    <row r="1056" customFormat="1" ht="15.75" customHeight="1"/>
    <row r="1057" customFormat="1"/>
    <row r="1058" customFormat="1" ht="15.75" customHeight="1"/>
    <row r="1059" customFormat="1"/>
    <row r="1060" customFormat="1" ht="15.75" customHeight="1"/>
    <row r="1061" customFormat="1"/>
    <row r="1062" customFormat="1" ht="15.75" customHeight="1"/>
    <row r="1063" customFormat="1"/>
    <row r="1064" customFormat="1" ht="15.75" customHeight="1"/>
    <row r="1065" customFormat="1"/>
    <row r="1066" customFormat="1"/>
    <row r="1067" customFormat="1" ht="75" customHeight="1"/>
    <row r="1068" customFormat="1"/>
    <row r="1069" customFormat="1"/>
    <row r="1070" customFormat="1"/>
    <row r="1071" customFormat="1"/>
    <row r="1072" customFormat="1"/>
    <row r="1073" customFormat="1" ht="30" customHeight="1"/>
    <row r="1074" customFormat="1"/>
    <row r="1075" customFormat="1" ht="16.5" customHeight="1"/>
    <row r="1076" customFormat="1"/>
    <row r="1077" customFormat="1" ht="15" customHeight="1"/>
    <row r="1078" customFormat="1" ht="15.75" customHeight="1"/>
    <row r="1079" customFormat="1"/>
    <row r="1080" customFormat="1" ht="15.75" customHeight="1"/>
    <row r="1081" customFormat="1"/>
    <row r="1082" customFormat="1" ht="15.75" customHeight="1"/>
    <row r="1083" customFormat="1"/>
    <row r="1084" customFormat="1" ht="15.75" customHeight="1"/>
    <row r="1085" customFormat="1"/>
    <row r="1086" customFormat="1" ht="15.75" customHeight="1"/>
    <row r="1087" customFormat="1"/>
    <row r="1088" customFormat="1" ht="15.75" customHeight="1"/>
    <row r="1089" customFormat="1"/>
    <row r="1090" customFormat="1" ht="15.75" customHeight="1"/>
    <row r="1091" customFormat="1"/>
    <row r="1092" customFormat="1" ht="15.75" customHeight="1"/>
    <row r="1093" customFormat="1"/>
    <row r="1094" customFormat="1" ht="15.75" customHeight="1"/>
    <row r="1095" customFormat="1"/>
    <row r="1096" customFormat="1" ht="15.75" customHeight="1"/>
    <row r="1097" customFormat="1"/>
    <row r="1098" customFormat="1" ht="15.75" customHeight="1"/>
    <row r="1099" customFormat="1"/>
    <row r="1100" customFormat="1" ht="15.75" customHeight="1"/>
    <row r="1101" customFormat="1"/>
    <row r="1102" customFormat="1" ht="15.75" customHeight="1"/>
    <row r="1103" customFormat="1"/>
    <row r="1104" customFormat="1" ht="15.75" customHeight="1"/>
    <row r="1105" customFormat="1"/>
    <row r="1106" customFormat="1" ht="15.75" customHeight="1"/>
    <row r="1107" customFormat="1"/>
    <row r="1108" customFormat="1" ht="15.75" customHeight="1"/>
    <row r="1109" customFormat="1"/>
    <row r="1110" customFormat="1" ht="15.75" customHeight="1"/>
    <row r="1111" customFormat="1"/>
    <row r="1112" customFormat="1" ht="15.75" customHeight="1"/>
    <row r="1113" customFormat="1"/>
    <row r="1114" customFormat="1" ht="15.75" customHeight="1"/>
    <row r="1115" customFormat="1"/>
    <row r="1116" customFormat="1" ht="15.75" customHeight="1"/>
    <row r="1117" customFormat="1"/>
    <row r="1118" customFormat="1" ht="15.75" customHeight="1"/>
    <row r="1119" customFormat="1"/>
    <row r="1120" customFormat="1" ht="15.75" customHeight="1"/>
    <row r="1121" customFormat="1"/>
    <row r="1122" customFormat="1" ht="15.75" customHeight="1"/>
    <row r="1123" customFormat="1"/>
    <row r="1124" customFormat="1" ht="15.75" customHeight="1"/>
    <row r="1125" customFormat="1"/>
    <row r="1126" customFormat="1" ht="15.75" customHeight="1"/>
    <row r="1127" customFormat="1"/>
    <row r="1128" customFormat="1" ht="15.75" customHeight="1"/>
    <row r="1129" customFormat="1"/>
    <row r="1130" customFormat="1" ht="15.75" customHeight="1"/>
    <row r="1131" customFormat="1"/>
    <row r="1132" customFormat="1" ht="15.75" customHeight="1"/>
    <row r="1133" customFormat="1"/>
    <row r="1134" customFormat="1" ht="15.75" customHeight="1"/>
    <row r="1135" customFormat="1"/>
    <row r="1136" customFormat="1" ht="15.75" customHeight="1"/>
    <row r="1137" customFormat="1"/>
    <row r="1138" customFormat="1" ht="15.75" customHeight="1"/>
    <row r="1139" customFormat="1"/>
    <row r="1140" customFormat="1" ht="15.75" customHeight="1"/>
    <row r="1141" customFormat="1"/>
    <row r="1142" customFormat="1" ht="15.75" customHeight="1"/>
    <row r="1143" customFormat="1"/>
    <row r="1144" customFormat="1" ht="15.75" customHeight="1"/>
    <row r="1145" customFormat="1"/>
    <row r="1146" customFormat="1" ht="15.75" customHeight="1"/>
    <row r="1147" customFormat="1"/>
    <row r="1148" customFormat="1" ht="15.75" customHeight="1"/>
    <row r="1149" customFormat="1"/>
    <row r="1150" customFormat="1" ht="15.75" customHeight="1"/>
    <row r="1151" customFormat="1"/>
    <row r="1152" customFormat="1" ht="15.75" customHeight="1"/>
    <row r="1153" customFormat="1"/>
    <row r="1154" customFormat="1" ht="15.75" customHeight="1"/>
    <row r="1155" customFormat="1"/>
    <row r="1156" customFormat="1" ht="15.75" customHeight="1"/>
    <row r="1157" customFormat="1"/>
    <row r="1158" customFormat="1" ht="15.75" customHeight="1"/>
    <row r="1159" customFormat="1"/>
    <row r="1160" customFormat="1" ht="15.75" customHeight="1"/>
    <row r="1161" customFormat="1"/>
    <row r="1162" customFormat="1" ht="15.75" customHeight="1"/>
    <row r="1163" customFormat="1"/>
    <row r="1164" customFormat="1" ht="15.75" customHeight="1"/>
    <row r="1165" customFormat="1"/>
    <row r="1166" customFormat="1" ht="15.75" customHeight="1"/>
    <row r="1167" customFormat="1"/>
    <row r="1168" customFormat="1" ht="15.75" customHeight="1"/>
    <row r="1169" customFormat="1"/>
    <row r="1170" customFormat="1" ht="15.75" customHeight="1"/>
    <row r="1171" customFormat="1"/>
    <row r="1172" customFormat="1" ht="15.75" customHeight="1"/>
    <row r="1173" customFormat="1"/>
    <row r="1174" customFormat="1" ht="15.75" customHeight="1"/>
    <row r="1175" customFormat="1"/>
    <row r="1176" customFormat="1" ht="15.75" customHeight="1"/>
    <row r="1177" customFormat="1"/>
    <row r="1178" customFormat="1" ht="15.75" customHeight="1"/>
    <row r="1179" customFormat="1"/>
    <row r="1180" customFormat="1" ht="15.75" customHeight="1"/>
    <row r="1181" customFormat="1"/>
    <row r="1182" customFormat="1" ht="15.75" customHeight="1"/>
    <row r="1183" customFormat="1"/>
    <row r="1184" customFormat="1" ht="15.75" customHeight="1"/>
    <row r="1185" customFormat="1"/>
    <row r="1186" customFormat="1" ht="15.75" customHeight="1"/>
    <row r="1187" customFormat="1"/>
    <row r="1188" customFormat="1" ht="15.75" customHeight="1"/>
    <row r="1189" customFormat="1"/>
    <row r="1190" customFormat="1" ht="15.75" customHeight="1"/>
    <row r="1191" customFormat="1"/>
    <row r="1192" customFormat="1" ht="15.75" customHeight="1"/>
    <row r="1193" customFormat="1"/>
    <row r="1194" customFormat="1" ht="15.75" customHeight="1"/>
    <row r="1195" customFormat="1"/>
    <row r="1196" customFormat="1" ht="15.75" customHeight="1"/>
    <row r="1197" customFormat="1"/>
    <row r="1198" customFormat="1" ht="15.75" customHeight="1"/>
    <row r="1199" customFormat="1"/>
    <row r="1200" customFormat="1" ht="15.75" customHeight="1"/>
    <row r="1201" customFormat="1"/>
    <row r="1202" customFormat="1" ht="15.75" customHeight="1"/>
    <row r="1203" customFormat="1"/>
    <row r="1204" customFormat="1" ht="15.75" customHeight="1"/>
    <row r="1205" customFormat="1"/>
    <row r="1206" customFormat="1" ht="15.75" customHeight="1"/>
    <row r="1207" customFormat="1"/>
    <row r="1208" customFormat="1" ht="15.75" customHeight="1"/>
    <row r="1209" customFormat="1"/>
    <row r="1210" customFormat="1" ht="15.75" customHeight="1"/>
    <row r="1211" customFormat="1"/>
    <row r="1212" customFormat="1" ht="15.75" customHeight="1"/>
    <row r="1213" customFormat="1"/>
    <row r="1214" customFormat="1" ht="15.75" customHeight="1"/>
    <row r="1215" customFormat="1"/>
    <row r="1216" customFormat="1" ht="15.75" customHeight="1"/>
    <row r="1217" customFormat="1"/>
    <row r="1218" customFormat="1" ht="15.75" customHeight="1"/>
    <row r="1219" customFormat="1"/>
    <row r="1220" customFormat="1" ht="15.75" customHeight="1"/>
    <row r="1221" customFormat="1"/>
    <row r="1222" customFormat="1" ht="15.75" customHeight="1"/>
    <row r="1223" customFormat="1"/>
    <row r="1224" customFormat="1" ht="15.75" customHeight="1"/>
    <row r="1225" customFormat="1"/>
    <row r="1226" customFormat="1" ht="15.75" customHeight="1"/>
    <row r="1227" customFormat="1"/>
    <row r="1228" customFormat="1" ht="15.75" customHeight="1"/>
    <row r="1229" customFormat="1"/>
    <row r="1230" customFormat="1" ht="15.75" customHeight="1"/>
    <row r="1231" customFormat="1"/>
    <row r="1232" customFormat="1" ht="15.75" customHeight="1"/>
    <row r="1233" customFormat="1"/>
    <row r="1234" customFormat="1" ht="15.75" customHeight="1"/>
    <row r="1235" customFormat="1"/>
    <row r="1236" customFormat="1" ht="15.75" customHeight="1"/>
    <row r="1237" customFormat="1"/>
    <row r="1238" customFormat="1" ht="15.75" customHeight="1"/>
    <row r="1239" customFormat="1"/>
    <row r="1240" customFormat="1" ht="15.75" customHeight="1"/>
    <row r="1241" customFormat="1"/>
    <row r="1242" customFormat="1" ht="15.75" customHeight="1"/>
    <row r="1243" customFormat="1"/>
    <row r="1244" customFormat="1" ht="15.75" customHeight="1"/>
    <row r="1245" customFormat="1"/>
    <row r="1246" customFormat="1" ht="15.75" customHeight="1"/>
    <row r="1247" customFormat="1"/>
    <row r="1248" customFormat="1" ht="15.75" customHeight="1"/>
    <row r="1249" customFormat="1"/>
    <row r="1250" customFormat="1" ht="15.75" customHeight="1"/>
    <row r="1251" customFormat="1"/>
    <row r="1252" customFormat="1" ht="15.75" customHeight="1"/>
    <row r="1253" customFormat="1"/>
    <row r="1254" customFormat="1" ht="15.75" customHeight="1"/>
    <row r="1255" customFormat="1"/>
    <row r="1256" customFormat="1" ht="15.75" customHeight="1"/>
    <row r="1257" customFormat="1"/>
    <row r="1258" customFormat="1" ht="15.75" customHeight="1"/>
    <row r="1259" customFormat="1"/>
    <row r="1260" customFormat="1" ht="15.75" customHeight="1"/>
    <row r="1261" customFormat="1"/>
    <row r="1262" customFormat="1" ht="15.75" customHeight="1"/>
    <row r="1263" customFormat="1"/>
    <row r="1264" customFormat="1" ht="15.75" customHeight="1"/>
    <row r="1265" customFormat="1"/>
    <row r="1266" customFormat="1" ht="15.75" customHeight="1"/>
    <row r="1267" customFormat="1"/>
    <row r="1268" customFormat="1" ht="15.75" customHeight="1"/>
    <row r="1269" customFormat="1"/>
    <row r="1270" customFormat="1" ht="15.75" customHeight="1"/>
    <row r="1271" customFormat="1"/>
    <row r="1272" customFormat="1" ht="15.75" customHeight="1"/>
    <row r="1273" customFormat="1"/>
    <row r="1274" customFormat="1" ht="15.75" customHeight="1"/>
    <row r="1275" customFormat="1"/>
    <row r="1276" customFormat="1" ht="15.75" customHeight="1"/>
    <row r="1277" customFormat="1"/>
    <row r="1278" customFormat="1"/>
    <row r="1279" customFormat="1" ht="75" customHeight="1"/>
    <row r="1280" customFormat="1"/>
    <row r="1281" customFormat="1"/>
    <row r="1282" customFormat="1"/>
    <row r="1283" customFormat="1"/>
    <row r="1284" customFormat="1"/>
    <row r="1285" customFormat="1" ht="30" customHeight="1"/>
    <row r="1286" customFormat="1"/>
    <row r="1287" customFormat="1" ht="16.5" customHeight="1"/>
    <row r="1288" customFormat="1"/>
    <row r="1289" customFormat="1"/>
    <row r="1290" customFormat="1" ht="15.75" customHeight="1"/>
    <row r="1291" customFormat="1"/>
    <row r="1292" customFormat="1" ht="15.75" customHeight="1"/>
    <row r="1293" customFormat="1"/>
    <row r="1294" customFormat="1" ht="15.75" customHeight="1"/>
    <row r="1295" customFormat="1"/>
    <row r="1296" customFormat="1" ht="15.75" customHeight="1"/>
    <row r="1297" customFormat="1"/>
    <row r="1298" customFormat="1" ht="15.75" customHeight="1"/>
    <row r="1299" customFormat="1"/>
    <row r="1300" customFormat="1" ht="15.75" customHeight="1"/>
    <row r="1301" customFormat="1"/>
    <row r="1302" customFormat="1" ht="15.75" customHeight="1"/>
    <row r="1303" customFormat="1"/>
    <row r="1304" customFormat="1" ht="15.75" customHeight="1"/>
    <row r="1305" customFormat="1"/>
    <row r="1306" customFormat="1" ht="15.75" customHeight="1"/>
    <row r="1307" customFormat="1"/>
    <row r="1308" customFormat="1" ht="15.75" customHeight="1"/>
    <row r="1309" customFormat="1"/>
    <row r="1310" customFormat="1" ht="15.75" customHeight="1"/>
    <row r="1311" customFormat="1"/>
    <row r="1312" customFormat="1" ht="15.75" customHeight="1"/>
    <row r="1313" customFormat="1"/>
    <row r="1314" customFormat="1" ht="15.75" customHeight="1"/>
    <row r="1315" customFormat="1"/>
    <row r="1316" customFormat="1" ht="15.75" customHeight="1"/>
    <row r="1317" customFormat="1"/>
    <row r="1318" customFormat="1" ht="15.75" customHeight="1"/>
    <row r="1319" customFormat="1"/>
    <row r="1320" customFormat="1" ht="15.75" customHeight="1"/>
    <row r="1321" customFormat="1"/>
    <row r="1322" customFormat="1" ht="15.75" customHeight="1"/>
    <row r="1323" customFormat="1"/>
    <row r="1324" customFormat="1" ht="15.75" customHeight="1"/>
    <row r="1325" customFormat="1"/>
    <row r="1326" customFormat="1" ht="15.75" customHeight="1"/>
    <row r="1327" customFormat="1"/>
    <row r="1328" customFormat="1" ht="15.75" customHeight="1"/>
    <row r="1329" customFormat="1"/>
    <row r="1330" customFormat="1" ht="15.75" customHeight="1"/>
    <row r="1331" customFormat="1"/>
    <row r="1332" customFormat="1" ht="15.75" customHeight="1"/>
    <row r="1333" customFormat="1"/>
    <row r="1334" customFormat="1" ht="15.75" customHeight="1"/>
    <row r="1335" customFormat="1"/>
    <row r="1336" customFormat="1" ht="15.75" customHeight="1"/>
    <row r="1337" customFormat="1"/>
    <row r="1338" customFormat="1" ht="15.75" customHeight="1"/>
    <row r="1339" customFormat="1"/>
    <row r="1340" customFormat="1" ht="15.75" customHeight="1"/>
    <row r="1341" customFormat="1"/>
    <row r="1342" customFormat="1" ht="15.75" customHeight="1"/>
    <row r="1343" customFormat="1"/>
    <row r="1344" customFormat="1" ht="15.75" customHeight="1"/>
    <row r="1345" customFormat="1"/>
    <row r="1346" customFormat="1" ht="15.75" customHeight="1"/>
    <row r="1347" customFormat="1"/>
    <row r="1348" customFormat="1" ht="15.75" customHeight="1"/>
    <row r="1349" customFormat="1"/>
    <row r="1350" customFormat="1" ht="15.75" customHeight="1"/>
    <row r="1351" customFormat="1"/>
    <row r="1352" customFormat="1" ht="15.75" customHeight="1"/>
    <row r="1353" customFormat="1"/>
    <row r="1354" customFormat="1" ht="15.75" customHeight="1"/>
    <row r="1355" customFormat="1"/>
    <row r="1356" customFormat="1" ht="15.75" customHeight="1"/>
    <row r="1357" customFormat="1"/>
    <row r="1358" customFormat="1" ht="15.75" customHeight="1"/>
    <row r="1359" customFormat="1"/>
    <row r="1360" customFormat="1" ht="15.75" customHeight="1"/>
    <row r="1361" customFormat="1"/>
    <row r="1362" customFormat="1" ht="15.75" customHeight="1"/>
    <row r="1363" customFormat="1"/>
    <row r="1364" customFormat="1" ht="15.75" customHeight="1"/>
    <row r="1365" customFormat="1"/>
    <row r="1366" customFormat="1" ht="15.75" customHeight="1"/>
    <row r="1367" customFormat="1"/>
    <row r="1368" customFormat="1" ht="15.75" customHeight="1"/>
    <row r="1369" customFormat="1"/>
    <row r="1370" customFormat="1" ht="15.75" customHeight="1"/>
    <row r="1371" customFormat="1"/>
    <row r="1372" customFormat="1" ht="15.75" customHeight="1"/>
    <row r="1373" customFormat="1"/>
    <row r="1374" customFormat="1" ht="15.75" customHeight="1"/>
    <row r="1375" customFormat="1"/>
    <row r="1376" customFormat="1" ht="15.75" customHeight="1"/>
    <row r="1377" customFormat="1"/>
    <row r="1378" customFormat="1" ht="15.75" customHeight="1"/>
    <row r="1379" customFormat="1"/>
    <row r="1380" customFormat="1" ht="15.75" customHeight="1"/>
    <row r="1381" customFormat="1"/>
    <row r="1382" customFormat="1" ht="15.75" customHeight="1"/>
    <row r="1383" customFormat="1"/>
    <row r="1384" customFormat="1" ht="15.75" customHeight="1"/>
    <row r="1385" customFormat="1"/>
    <row r="1386" customFormat="1" ht="15.75" customHeight="1"/>
    <row r="1387" customFormat="1"/>
    <row r="1388" customFormat="1" ht="15.75" customHeight="1"/>
    <row r="1389" customFormat="1"/>
    <row r="1390" customFormat="1" ht="15.75" customHeight="1"/>
    <row r="1391" customFormat="1"/>
    <row r="1392" customFormat="1" ht="15.75" customHeight="1"/>
    <row r="1393" customFormat="1"/>
    <row r="1394" customFormat="1" ht="15.75" customHeight="1"/>
    <row r="1395" customFormat="1"/>
    <row r="1396" customFormat="1" ht="15.75" customHeight="1"/>
    <row r="1397" customFormat="1"/>
    <row r="1398" customFormat="1" ht="15.75" customHeight="1"/>
    <row r="1399" customFormat="1"/>
    <row r="1400" customFormat="1" ht="15.75" customHeight="1"/>
    <row r="1401" customFormat="1"/>
    <row r="1402" customFormat="1" ht="15.75" customHeight="1"/>
    <row r="1403" customFormat="1"/>
    <row r="1404" customFormat="1" ht="15.75" customHeight="1"/>
    <row r="1405" customFormat="1"/>
    <row r="1406" customFormat="1" ht="15.75" customHeight="1"/>
    <row r="1407" customFormat="1"/>
    <row r="1408" customFormat="1" ht="15.75" customHeight="1"/>
    <row r="1409" customFormat="1"/>
    <row r="1410" customFormat="1" ht="15.75" customHeight="1"/>
    <row r="1411" customFormat="1"/>
    <row r="1412" customFormat="1" ht="15.75" customHeight="1"/>
    <row r="1413" customFormat="1"/>
    <row r="1414" customFormat="1" ht="15.75" customHeight="1"/>
    <row r="1415" customFormat="1"/>
    <row r="1416" customFormat="1" ht="15.75" customHeight="1"/>
    <row r="1417" customFormat="1"/>
    <row r="1418" customFormat="1" ht="15.75" customHeight="1"/>
    <row r="1419" customFormat="1"/>
    <row r="1420" customFormat="1" ht="15.75" customHeight="1"/>
    <row r="1421" customFormat="1"/>
    <row r="1422" customFormat="1" ht="15.75" customHeight="1"/>
    <row r="1423" customFormat="1"/>
    <row r="1424" customFormat="1" ht="15.75" customHeight="1"/>
    <row r="1425" customFormat="1"/>
    <row r="1426" customFormat="1" ht="15.75" customHeight="1"/>
    <row r="1427" customFormat="1"/>
    <row r="1428" customFormat="1" ht="15.75" customHeight="1"/>
    <row r="1429" customFormat="1"/>
    <row r="1430" customFormat="1" ht="15.75" customHeight="1"/>
    <row r="1431" customFormat="1"/>
    <row r="1432" customFormat="1" ht="15.75" customHeight="1"/>
    <row r="1433" customFormat="1"/>
    <row r="1434" customFormat="1" ht="15.75" customHeight="1"/>
    <row r="1435" customFormat="1"/>
    <row r="1436" customFormat="1" ht="15.75" customHeight="1"/>
    <row r="1437" customFormat="1"/>
    <row r="1438" customFormat="1" ht="15.75" customHeight="1"/>
    <row r="1439" customFormat="1"/>
    <row r="1440" customFormat="1" ht="15.75" customHeight="1"/>
    <row r="1441" customFormat="1"/>
    <row r="1442" customFormat="1" ht="15.75" customHeight="1"/>
    <row r="1443" customFormat="1"/>
    <row r="1444" customFormat="1" ht="15.75" customHeight="1"/>
    <row r="1445" customFormat="1"/>
    <row r="1446" customFormat="1" ht="15.75" customHeight="1"/>
    <row r="1447" customFormat="1"/>
    <row r="1448" customFormat="1" ht="15.75" customHeight="1"/>
    <row r="1449" customFormat="1"/>
    <row r="1450" customFormat="1" ht="15.75" customHeight="1"/>
    <row r="1451" customFormat="1"/>
    <row r="1452" customFormat="1" ht="15.75" customHeight="1"/>
    <row r="1453" customFormat="1"/>
    <row r="1454" customFormat="1" ht="15.75" customHeight="1"/>
    <row r="1455" customFormat="1"/>
    <row r="1456" customFormat="1" ht="15.75" customHeight="1"/>
    <row r="1457" customFormat="1"/>
    <row r="1458" customFormat="1" ht="15.75" customHeight="1"/>
    <row r="1459" customFormat="1"/>
    <row r="1460" customFormat="1" ht="15.75" customHeight="1"/>
    <row r="1461" customFormat="1"/>
    <row r="1462" customFormat="1" ht="15.75" customHeight="1"/>
    <row r="1463" customFormat="1"/>
    <row r="1464" customFormat="1" ht="15.75" customHeight="1"/>
    <row r="1465" customFormat="1"/>
    <row r="1466" customFormat="1" ht="15.75" customHeight="1"/>
    <row r="1467" customFormat="1"/>
    <row r="1468" customFormat="1" ht="15.75" customHeight="1"/>
    <row r="1469" customFormat="1"/>
    <row r="1470" customFormat="1" ht="15.75" customHeight="1"/>
    <row r="1471" customFormat="1"/>
    <row r="1472" customFormat="1" ht="15.75" customHeight="1"/>
    <row r="1473" customFormat="1"/>
    <row r="1474" customFormat="1" ht="15.75" customHeight="1"/>
    <row r="1475" customFormat="1"/>
    <row r="1476" customFormat="1" ht="15.75" customHeight="1"/>
    <row r="1477" customFormat="1"/>
    <row r="1478" customFormat="1" ht="15.75" customHeight="1"/>
    <row r="1479" customFormat="1"/>
    <row r="1480" customFormat="1" ht="15.75" customHeight="1"/>
    <row r="1481" customFormat="1"/>
    <row r="1482" customFormat="1" ht="15.75" customHeight="1"/>
    <row r="1483" customFormat="1"/>
    <row r="1484" customFormat="1" ht="15.75" customHeight="1"/>
    <row r="1485" customFormat="1"/>
    <row r="1486" customFormat="1" ht="15.75" customHeight="1"/>
    <row r="1487" customFormat="1"/>
    <row r="1488" customFormat="1" ht="15.75" customHeight="1"/>
    <row r="1489" customFormat="1"/>
    <row r="1490" customFormat="1"/>
    <row r="1491" customFormat="1" ht="75" customHeight="1"/>
    <row r="1492" customFormat="1"/>
    <row r="1493" customFormat="1"/>
    <row r="1494" customFormat="1"/>
    <row r="1495" customFormat="1"/>
    <row r="1496" customFormat="1"/>
    <row r="1497" customFormat="1" ht="30" customHeight="1"/>
    <row r="1498" customFormat="1"/>
    <row r="1499" customFormat="1" ht="16.5" customHeight="1"/>
    <row r="1500" customFormat="1"/>
    <row r="1501" customFormat="1"/>
    <row r="1502" customFormat="1" ht="15.75" customHeight="1"/>
    <row r="1503" customFormat="1"/>
    <row r="1504" customFormat="1" ht="15.75" customHeight="1"/>
    <row r="1505" customFormat="1"/>
    <row r="1506" customFormat="1" ht="15.75" customHeight="1"/>
    <row r="1507" customFormat="1"/>
    <row r="1508" customFormat="1" ht="15.75" customHeight="1"/>
    <row r="1509" customFormat="1"/>
    <row r="1510" customFormat="1" ht="15.75" customHeight="1"/>
    <row r="1511" customFormat="1"/>
    <row r="1512" customFormat="1" ht="15.75" customHeight="1"/>
    <row r="1513" customFormat="1"/>
    <row r="1514" customFormat="1" ht="15.75" customHeight="1"/>
    <row r="1515" customFormat="1"/>
    <row r="1516" customFormat="1" ht="15.75" customHeight="1"/>
    <row r="1517" customFormat="1"/>
    <row r="1518" customFormat="1" ht="15.75" customHeight="1"/>
    <row r="1519" customFormat="1"/>
    <row r="1520" customFormat="1" ht="15.75" customHeight="1"/>
    <row r="1521" customFormat="1"/>
    <row r="1522" customFormat="1" ht="15.75" customHeight="1"/>
    <row r="1523" customFormat="1"/>
    <row r="1524" customFormat="1" ht="15.75" customHeight="1"/>
    <row r="1525" customFormat="1"/>
    <row r="1526" customFormat="1" ht="15.75" customHeight="1"/>
    <row r="1527" customFormat="1"/>
    <row r="1528" customFormat="1" ht="15.75" customHeight="1"/>
    <row r="1529" customFormat="1"/>
    <row r="1530" customFormat="1" ht="15.75" customHeight="1"/>
    <row r="1531" customFormat="1"/>
    <row r="1532" customFormat="1" ht="15.75" customHeight="1"/>
    <row r="1533" customFormat="1"/>
    <row r="1534" customFormat="1" ht="15.75" customHeight="1"/>
    <row r="1535" customFormat="1"/>
    <row r="1536" customFormat="1" ht="15.75" customHeight="1"/>
    <row r="1537" customFormat="1"/>
    <row r="1538" customFormat="1" ht="15.75" customHeight="1"/>
    <row r="1539" customFormat="1"/>
    <row r="1540" customFormat="1" ht="15.75" customHeight="1"/>
    <row r="1541" customFormat="1"/>
    <row r="1542" customFormat="1" ht="15.75" customHeight="1"/>
    <row r="1543" customFormat="1"/>
    <row r="1544" customFormat="1" ht="15.75" customHeight="1"/>
    <row r="1545" customFormat="1"/>
    <row r="1546" customFormat="1" ht="15.75" customHeight="1"/>
    <row r="1547" customFormat="1"/>
    <row r="1548" customFormat="1" ht="15.75" customHeight="1"/>
    <row r="1549" customFormat="1"/>
    <row r="1550" customFormat="1" ht="15.75" customHeight="1"/>
    <row r="1551" customFormat="1"/>
    <row r="1552" customFormat="1" ht="15.75" customHeight="1"/>
    <row r="1553" customFormat="1"/>
    <row r="1554" customFormat="1" ht="15.75" customHeight="1"/>
    <row r="1555" customFormat="1"/>
    <row r="1556" customFormat="1" ht="15.75" customHeight="1"/>
    <row r="1557" customFormat="1"/>
    <row r="1558" customFormat="1" ht="15.75" customHeight="1"/>
    <row r="1559" customFormat="1"/>
    <row r="1560" customFormat="1" ht="15.75" customHeight="1"/>
    <row r="1561" customFormat="1"/>
    <row r="1562" customFormat="1" ht="15.75" customHeight="1"/>
    <row r="1563" customFormat="1"/>
    <row r="1564" customFormat="1" ht="15.75" customHeight="1"/>
    <row r="1565" customFormat="1"/>
    <row r="1566" customFormat="1" ht="15.75" customHeight="1"/>
    <row r="1567" customFormat="1"/>
    <row r="1568" customFormat="1" ht="15.75" customHeight="1"/>
    <row r="1569" customFormat="1"/>
    <row r="1570" customFormat="1" ht="15.75" customHeight="1"/>
    <row r="1571" customFormat="1"/>
    <row r="1572" customFormat="1" ht="15.75" customHeight="1"/>
    <row r="1573" customFormat="1"/>
    <row r="1574" customFormat="1" ht="15.75" customHeight="1"/>
    <row r="1575" customFormat="1"/>
    <row r="1576" customFormat="1" ht="15.75" customHeight="1"/>
    <row r="1577" customFormat="1"/>
    <row r="1578" customFormat="1" ht="15.75" customHeight="1"/>
    <row r="1579" customFormat="1"/>
    <row r="1580" customFormat="1" ht="15.75" customHeight="1"/>
    <row r="1581" customFormat="1"/>
    <row r="1582" customFormat="1" ht="15.75" customHeight="1"/>
    <row r="1583" customFormat="1"/>
    <row r="1584" customFormat="1" ht="15.75" customHeight="1"/>
    <row r="1585" customFormat="1"/>
    <row r="1586" customFormat="1" ht="15.75" customHeight="1"/>
    <row r="1587" customFormat="1"/>
    <row r="1588" customFormat="1" ht="15.75" customHeight="1"/>
    <row r="1589" customFormat="1"/>
    <row r="1590" customFormat="1" ht="15.75" customHeight="1"/>
    <row r="1591" customFormat="1"/>
    <row r="1592" customFormat="1" ht="15.75" customHeight="1"/>
    <row r="1593" customFormat="1"/>
    <row r="1594" customFormat="1" ht="15.75" customHeight="1"/>
    <row r="1595" customFormat="1"/>
    <row r="1596" customFormat="1" ht="15.75" customHeight="1"/>
    <row r="1597" customFormat="1"/>
    <row r="1598" customFormat="1" ht="15.75" customHeight="1"/>
    <row r="1599" customFormat="1"/>
    <row r="1600" customFormat="1" ht="15.75" customHeight="1"/>
    <row r="1601" customFormat="1"/>
    <row r="1602" customFormat="1" ht="15.75" customHeight="1"/>
    <row r="1603" customFormat="1"/>
    <row r="1604" customFormat="1" ht="15.75" customHeight="1"/>
    <row r="1605" customFormat="1"/>
    <row r="1606" customFormat="1" ht="15.75" customHeight="1"/>
    <row r="1607" customFormat="1"/>
    <row r="1608" customFormat="1" ht="15.75" customHeight="1"/>
    <row r="1609" customFormat="1"/>
    <row r="1610" customFormat="1" ht="15.75" customHeight="1"/>
    <row r="1611" customFormat="1"/>
    <row r="1612" customFormat="1" ht="15.75" customHeight="1"/>
    <row r="1613" customFormat="1"/>
    <row r="1614" customFormat="1" ht="15.75" customHeight="1"/>
    <row r="1615" customFormat="1"/>
    <row r="1616" customFormat="1" ht="15.75" customHeight="1"/>
    <row r="1617" customFormat="1"/>
    <row r="1618" customFormat="1" ht="15.75" customHeight="1"/>
    <row r="1619" customFormat="1"/>
    <row r="1620" customFormat="1" ht="15.75" customHeight="1"/>
    <row r="1621" customFormat="1"/>
    <row r="1622" customFormat="1" ht="15.75" customHeight="1"/>
    <row r="1623" customFormat="1"/>
    <row r="1624" customFormat="1" ht="15.75" customHeight="1"/>
    <row r="1625" customFormat="1"/>
    <row r="1626" customFormat="1" ht="15.75" customHeight="1"/>
    <row r="1627" customFormat="1"/>
    <row r="1628" customFormat="1" ht="15.75" customHeight="1"/>
    <row r="1629" customFormat="1"/>
    <row r="1630" customFormat="1" ht="15.75" customHeight="1"/>
    <row r="1631" customFormat="1"/>
    <row r="1632" customFormat="1" ht="15.75" customHeight="1"/>
    <row r="1633" customFormat="1"/>
    <row r="1634" customFormat="1" ht="15.75" customHeight="1"/>
    <row r="1635" customFormat="1"/>
    <row r="1636" customFormat="1" ht="15.75" customHeight="1"/>
    <row r="1637" customFormat="1"/>
    <row r="1638" customFormat="1" ht="15.75" customHeight="1"/>
    <row r="1639" customFormat="1"/>
    <row r="1640" customFormat="1" ht="15.75" customHeight="1"/>
    <row r="1641" customFormat="1"/>
    <row r="1642" customFormat="1" ht="15.75" customHeight="1"/>
    <row r="1643" customFormat="1"/>
    <row r="1644" customFormat="1" ht="15.75" customHeight="1"/>
    <row r="1645" customFormat="1"/>
    <row r="1646" customFormat="1" ht="15.75" customHeight="1"/>
    <row r="1647" customFormat="1"/>
    <row r="1648" customFormat="1" ht="15.75" customHeight="1"/>
    <row r="1649" customFormat="1"/>
    <row r="1650" customFormat="1" ht="15.75" customHeight="1"/>
    <row r="1651" customFormat="1"/>
    <row r="1652" customFormat="1" ht="15.75" customHeight="1"/>
    <row r="1653" customFormat="1"/>
    <row r="1654" customFormat="1" ht="15.75" customHeight="1"/>
    <row r="1655" customFormat="1"/>
    <row r="1656" customFormat="1" ht="15.75" customHeight="1"/>
    <row r="1657" customFormat="1"/>
    <row r="1658" customFormat="1" ht="15.75" customHeight="1"/>
    <row r="1659" customFormat="1"/>
    <row r="1660" customFormat="1" ht="15.75" customHeight="1"/>
    <row r="1661" customFormat="1"/>
    <row r="1662" customFormat="1" ht="15.75" customHeight="1"/>
    <row r="1663" customFormat="1"/>
    <row r="1664" customFormat="1" ht="15.75" customHeight="1"/>
    <row r="1665" customFormat="1"/>
    <row r="1666" customFormat="1" ht="15.75" customHeight="1"/>
    <row r="1667" customFormat="1"/>
    <row r="1668" customFormat="1" ht="15.75" customHeight="1"/>
    <row r="1669" customFormat="1"/>
    <row r="1670" customFormat="1" ht="15.75" customHeight="1"/>
    <row r="1671" customFormat="1"/>
    <row r="1672" customFormat="1" ht="15.75" customHeight="1"/>
    <row r="1673" customFormat="1"/>
    <row r="1674" customFormat="1" ht="15.75" customHeight="1"/>
    <row r="1675" customFormat="1"/>
    <row r="1676" customFormat="1" ht="15.75" customHeight="1"/>
    <row r="1677" customFormat="1"/>
    <row r="1678" customFormat="1" ht="15.75" customHeight="1"/>
    <row r="1679" customFormat="1"/>
    <row r="1680" customFormat="1" ht="15.75" customHeight="1"/>
    <row r="1681" customFormat="1"/>
    <row r="1682" customFormat="1" ht="15.75" customHeight="1"/>
    <row r="1683" customFormat="1"/>
    <row r="1684" customFormat="1" ht="15.75" customHeight="1"/>
    <row r="1685" customFormat="1"/>
    <row r="1686" customFormat="1" ht="15.75" customHeight="1"/>
    <row r="1687" customFormat="1"/>
    <row r="1688" customFormat="1" ht="15.75" customHeight="1"/>
    <row r="1689" customFormat="1"/>
    <row r="1690" customFormat="1" ht="15.75" customHeight="1"/>
    <row r="1691" customFormat="1"/>
    <row r="1692" customFormat="1" ht="15.75" customHeight="1"/>
    <row r="1693" customFormat="1"/>
    <row r="1694" customFormat="1" ht="15.75" customHeight="1"/>
    <row r="1695" customFormat="1"/>
    <row r="1696" customFormat="1" ht="15.75" customHeight="1"/>
    <row r="1697" customFormat="1"/>
    <row r="1698" customFormat="1" ht="15.75" customHeight="1"/>
    <row r="1699" customFormat="1"/>
    <row r="1700" customFormat="1" ht="15.75" customHeight="1"/>
    <row r="1701" customFormat="1"/>
    <row r="1702" customFormat="1"/>
    <row r="1703" customFormat="1" ht="75" customHeight="1"/>
    <row r="1704" customFormat="1" ht="14.25" customHeight="1"/>
    <row r="1705" customFormat="1"/>
  </sheetData>
  <sheetProtection formatCells="0" formatColumns="0" formatRows="0" insertHyperlinks="0"/>
  <mergeCells count="306">
    <mergeCell ref="B8:D8"/>
    <mergeCell ref="C65:D65"/>
    <mergeCell ref="C67:D67"/>
    <mergeCell ref="C51:D51"/>
    <mergeCell ref="C37:D37"/>
    <mergeCell ref="B9:D9"/>
    <mergeCell ref="C45:D45"/>
    <mergeCell ref="C47:D47"/>
    <mergeCell ref="C49:D49"/>
    <mergeCell ref="C29:D29"/>
    <mergeCell ref="C31:D31"/>
    <mergeCell ref="C33:D33"/>
    <mergeCell ref="C35:D35"/>
    <mergeCell ref="C39:D39"/>
    <mergeCell ref="C41:D41"/>
    <mergeCell ref="C43:D43"/>
    <mergeCell ref="C12:D12"/>
    <mergeCell ref="C16:D16"/>
    <mergeCell ref="C14:D14"/>
    <mergeCell ref="C34:D34"/>
    <mergeCell ref="C52:D52"/>
    <mergeCell ref="C50:D50"/>
    <mergeCell ref="C48:D48"/>
    <mergeCell ref="C54:D54"/>
    <mergeCell ref="B219:J219"/>
    <mergeCell ref="C21:D21"/>
    <mergeCell ref="C23:D23"/>
    <mergeCell ref="C25:D25"/>
    <mergeCell ref="C27:D27"/>
    <mergeCell ref="B11:B210"/>
    <mergeCell ref="C11:D11"/>
    <mergeCell ref="C13:D13"/>
    <mergeCell ref="C15:D15"/>
    <mergeCell ref="C17:D17"/>
    <mergeCell ref="C19:D19"/>
    <mergeCell ref="C101:D101"/>
    <mergeCell ref="C103:D103"/>
    <mergeCell ref="C53:D53"/>
    <mergeCell ref="C55:D55"/>
    <mergeCell ref="C59:D59"/>
    <mergeCell ref="C110:D110"/>
    <mergeCell ref="C108:D108"/>
    <mergeCell ref="C106:D106"/>
    <mergeCell ref="C104:D104"/>
    <mergeCell ref="C24:D24"/>
    <mergeCell ref="C22:D22"/>
    <mergeCell ref="C20:D20"/>
    <mergeCell ref="C18:D18"/>
    <mergeCell ref="C95:D95"/>
    <mergeCell ref="C77:D77"/>
    <mergeCell ref="C79:D79"/>
    <mergeCell ref="C81:D81"/>
    <mergeCell ref="C83:D83"/>
    <mergeCell ref="C32:D32"/>
    <mergeCell ref="C30:D30"/>
    <mergeCell ref="C28:D28"/>
    <mergeCell ref="C26:D26"/>
    <mergeCell ref="C68:D68"/>
    <mergeCell ref="C66:D66"/>
    <mergeCell ref="C71:D71"/>
    <mergeCell ref="C73:D73"/>
    <mergeCell ref="C75:D75"/>
    <mergeCell ref="C74:D74"/>
    <mergeCell ref="C72:D72"/>
    <mergeCell ref="C70:D70"/>
    <mergeCell ref="C69:D69"/>
    <mergeCell ref="C36:D36"/>
    <mergeCell ref="C64:D64"/>
    <mergeCell ref="C62:D62"/>
    <mergeCell ref="C60:D60"/>
    <mergeCell ref="C58:D58"/>
    <mergeCell ref="C56:D56"/>
    <mergeCell ref="C57:D57"/>
    <mergeCell ref="C61:D61"/>
    <mergeCell ref="C63:D63"/>
    <mergeCell ref="C46:D46"/>
    <mergeCell ref="C44:D44"/>
    <mergeCell ref="C42:D42"/>
    <mergeCell ref="C40:D40"/>
    <mergeCell ref="C38:D38"/>
    <mergeCell ref="C84:D84"/>
    <mergeCell ref="C82:D82"/>
    <mergeCell ref="C80:D80"/>
    <mergeCell ref="C78:D78"/>
    <mergeCell ref="C76:D76"/>
    <mergeCell ref="C105:D105"/>
    <mergeCell ref="C124:D124"/>
    <mergeCell ref="C116:D116"/>
    <mergeCell ref="C118:D118"/>
    <mergeCell ref="C117:D117"/>
    <mergeCell ref="C85:D85"/>
    <mergeCell ref="C87:D87"/>
    <mergeCell ref="C89:D89"/>
    <mergeCell ref="C91:D91"/>
    <mergeCell ref="C94:D94"/>
    <mergeCell ref="C92:D92"/>
    <mergeCell ref="C90:D90"/>
    <mergeCell ref="C88:D88"/>
    <mergeCell ref="C86:D86"/>
    <mergeCell ref="C102:D102"/>
    <mergeCell ref="C100:D100"/>
    <mergeCell ref="C98:D98"/>
    <mergeCell ref="C96:D96"/>
    <mergeCell ref="C93:D93"/>
    <mergeCell ref="C107:D107"/>
    <mergeCell ref="C97:D97"/>
    <mergeCell ref="C99:D99"/>
    <mergeCell ref="C109:D109"/>
    <mergeCell ref="C111:D111"/>
    <mergeCell ref="C135:D135"/>
    <mergeCell ref="C137:D137"/>
    <mergeCell ref="C139:D139"/>
    <mergeCell ref="C141:D141"/>
    <mergeCell ref="C143:D143"/>
    <mergeCell ref="C127:D127"/>
    <mergeCell ref="C129:D129"/>
    <mergeCell ref="C128:D128"/>
    <mergeCell ref="C130:D130"/>
    <mergeCell ref="C136:D136"/>
    <mergeCell ref="C140:D140"/>
    <mergeCell ref="C142:D142"/>
    <mergeCell ref="E168:J168"/>
    <mergeCell ref="E170:J170"/>
    <mergeCell ref="E172:J172"/>
    <mergeCell ref="C154:D154"/>
    <mergeCell ref="C150:D150"/>
    <mergeCell ref="C144:D144"/>
    <mergeCell ref="C146:D146"/>
    <mergeCell ref="E156:J156"/>
    <mergeCell ref="E158:J158"/>
    <mergeCell ref="E160:J160"/>
    <mergeCell ref="E162:J162"/>
    <mergeCell ref="E164:J164"/>
    <mergeCell ref="E166:J166"/>
    <mergeCell ref="C156:D156"/>
    <mergeCell ref="C157:D157"/>
    <mergeCell ref="C159:D159"/>
    <mergeCell ref="C152:D152"/>
    <mergeCell ref="C149:D149"/>
    <mergeCell ref="C161:D161"/>
    <mergeCell ref="C163:D163"/>
    <mergeCell ref="C168:D168"/>
    <mergeCell ref="C170:D170"/>
    <mergeCell ref="C172:D172"/>
    <mergeCell ref="C164:D164"/>
    <mergeCell ref="C112:D112"/>
    <mergeCell ref="C114:D114"/>
    <mergeCell ref="C126:D126"/>
    <mergeCell ref="C120:D120"/>
    <mergeCell ref="C122:D122"/>
    <mergeCell ref="C125:D125"/>
    <mergeCell ref="C134:D134"/>
    <mergeCell ref="C131:D131"/>
    <mergeCell ref="C113:D113"/>
    <mergeCell ref="C115:D115"/>
    <mergeCell ref="C132:D132"/>
    <mergeCell ref="C119:D119"/>
    <mergeCell ref="C121:D121"/>
    <mergeCell ref="C123:D123"/>
    <mergeCell ref="C133:D133"/>
    <mergeCell ref="C198:D198"/>
    <mergeCell ref="C176:D176"/>
    <mergeCell ref="C178:D178"/>
    <mergeCell ref="C184:D184"/>
    <mergeCell ref="C186:D186"/>
    <mergeCell ref="C180:D180"/>
    <mergeCell ref="C182:D182"/>
    <mergeCell ref="C196:D196"/>
    <mergeCell ref="C188:D188"/>
    <mergeCell ref="C190:D190"/>
    <mergeCell ref="C192:D192"/>
    <mergeCell ref="C197:D197"/>
    <mergeCell ref="C185:D185"/>
    <mergeCell ref="C187:D187"/>
    <mergeCell ref="C189:D189"/>
    <mergeCell ref="C191:D191"/>
    <mergeCell ref="C177:D177"/>
    <mergeCell ref="C179:D179"/>
    <mergeCell ref="C193:D193"/>
    <mergeCell ref="C195:D195"/>
    <mergeCell ref="C181:D181"/>
    <mergeCell ref="C183:D183"/>
    <mergeCell ref="C194:D194"/>
    <mergeCell ref="C173:D173"/>
    <mergeCell ref="C166:D166"/>
    <mergeCell ref="C158:D158"/>
    <mergeCell ref="C160:D160"/>
    <mergeCell ref="C162:D162"/>
    <mergeCell ref="C171:D171"/>
    <mergeCell ref="C138:D138"/>
    <mergeCell ref="C175:D175"/>
    <mergeCell ref="C174:D174"/>
    <mergeCell ref="C151:D151"/>
    <mergeCell ref="C153:D153"/>
    <mergeCell ref="C167:D167"/>
    <mergeCell ref="C169:D169"/>
    <mergeCell ref="C155:D155"/>
    <mergeCell ref="C145:D145"/>
    <mergeCell ref="C147:D147"/>
    <mergeCell ref="C148:D148"/>
    <mergeCell ref="C165:D165"/>
    <mergeCell ref="C200:D200"/>
    <mergeCell ref="C202:D202"/>
    <mergeCell ref="B214:J214"/>
    <mergeCell ref="C208:D208"/>
    <mergeCell ref="C210:D210"/>
    <mergeCell ref="C204:D204"/>
    <mergeCell ref="C206:D206"/>
    <mergeCell ref="C209:D209"/>
    <mergeCell ref="C207:D207"/>
    <mergeCell ref="C205:D205"/>
    <mergeCell ref="C203:D203"/>
    <mergeCell ref="C199:D199"/>
    <mergeCell ref="C201:D201"/>
    <mergeCell ref="E210:J210"/>
    <mergeCell ref="E9:J9"/>
    <mergeCell ref="E12:J12"/>
    <mergeCell ref="E14:J14"/>
    <mergeCell ref="E16:J16"/>
    <mergeCell ref="E18:J18"/>
    <mergeCell ref="E20:J20"/>
    <mergeCell ref="E22:J22"/>
    <mergeCell ref="E24:J24"/>
    <mergeCell ref="E26:J26"/>
    <mergeCell ref="E28:J28"/>
    <mergeCell ref="E30:J30"/>
    <mergeCell ref="E32:J32"/>
    <mergeCell ref="E34:J34"/>
    <mergeCell ref="E36:J36"/>
    <mergeCell ref="E38:J38"/>
    <mergeCell ref="E40:J40"/>
    <mergeCell ref="E42:J42"/>
    <mergeCell ref="E44:J44"/>
    <mergeCell ref="E46:J46"/>
    <mergeCell ref="E48:J48"/>
    <mergeCell ref="E50:J50"/>
    <mergeCell ref="E52:J52"/>
    <mergeCell ref="E54:J54"/>
    <mergeCell ref="E56:J56"/>
    <mergeCell ref="E58:J58"/>
    <mergeCell ref="E60:J60"/>
    <mergeCell ref="E62:J62"/>
    <mergeCell ref="E64:J64"/>
    <mergeCell ref="E66:J66"/>
    <mergeCell ref="E68:J68"/>
    <mergeCell ref="E70:J70"/>
    <mergeCell ref="E72:J72"/>
    <mergeCell ref="E74:J74"/>
    <mergeCell ref="E76:J76"/>
    <mergeCell ref="E78:J78"/>
    <mergeCell ref="E80:J80"/>
    <mergeCell ref="E104:J104"/>
    <mergeCell ref="E106:J106"/>
    <mergeCell ref="E108:J108"/>
    <mergeCell ref="E100:J100"/>
    <mergeCell ref="E102:J102"/>
    <mergeCell ref="E82:J82"/>
    <mergeCell ref="E84:J84"/>
    <mergeCell ref="E86:J86"/>
    <mergeCell ref="E88:J88"/>
    <mergeCell ref="E90:J90"/>
    <mergeCell ref="E92:J92"/>
    <mergeCell ref="E94:J94"/>
    <mergeCell ref="E96:J96"/>
    <mergeCell ref="E98:J98"/>
    <mergeCell ref="E110:J110"/>
    <mergeCell ref="E112:J112"/>
    <mergeCell ref="E114:J114"/>
    <mergeCell ref="E116:J116"/>
    <mergeCell ref="E118:J118"/>
    <mergeCell ref="E120:J120"/>
    <mergeCell ref="E122:J122"/>
    <mergeCell ref="E124:J124"/>
    <mergeCell ref="E126:J126"/>
    <mergeCell ref="E128:J128"/>
    <mergeCell ref="E130:J130"/>
    <mergeCell ref="E132:J132"/>
    <mergeCell ref="E134:J134"/>
    <mergeCell ref="E136:J136"/>
    <mergeCell ref="E138:J138"/>
    <mergeCell ref="E150:J150"/>
    <mergeCell ref="E152:J152"/>
    <mergeCell ref="E154:J154"/>
    <mergeCell ref="E142:J142"/>
    <mergeCell ref="E144:J144"/>
    <mergeCell ref="E146:J146"/>
    <mergeCell ref="E148:J148"/>
    <mergeCell ref="E140:J140"/>
    <mergeCell ref="E174:J174"/>
    <mergeCell ref="E176:J176"/>
    <mergeCell ref="E178:J178"/>
    <mergeCell ref="E180:J180"/>
    <mergeCell ref="E182:J182"/>
    <mergeCell ref="E184:J184"/>
    <mergeCell ref="E186:J186"/>
    <mergeCell ref="E188:J188"/>
    <mergeCell ref="E190:J190"/>
    <mergeCell ref="E192:J192"/>
    <mergeCell ref="E194:J194"/>
    <mergeCell ref="E196:J196"/>
    <mergeCell ref="E198:J198"/>
    <mergeCell ref="E200:J200"/>
    <mergeCell ref="E202:J202"/>
    <mergeCell ref="E204:J204"/>
    <mergeCell ref="E206:J206"/>
    <mergeCell ref="E208:J208"/>
  </mergeCells>
  <conditionalFormatting sqref="C11:D11 C13:D13 C15:D15 C17:D17 C19:D19 C21:D21 C23:D23 C25:D25 C27:D27 C29:D29 C31:D31 C33:D33 C35:D35 C37:D37 C39:D39 C41:D41 C43:D43 C45:D45 C47:D47 C49:D49 C51:D51 C53:D53 C55:D55 C57:D57 C59:D59 C61:D61 C63:D63 C65:D65 C67:D67 C69:D69 C71:D71 C73:D73 C75:D75 C77:D77 C79:D79 C81:D81 C83:D83 C85:D85 C87:D87 C89:D89 C91:D91 C93:D93 C95:D95 C97:D97 C99:D99 C101:D101 C103:D103 C105:D105 C107:D107 C109:D109 C111:D111 C113:D113 C115:D115 C117:D117 C119:D119 C121:D121 C123:D123 C125:D125 C127:D127 C129:D129 C131:D131 C133:D133 C135:D135 C137:D137 C139:D139 C141:D141 C143:D143 C145:D145 C147:D147 C149:D149 C151:D151 C153:D153 C155:D155 C157:D157 C159:D159 C161:D161 C163:D163 C165:D165 C167:D167 C169:D169 C171:D171 C173:D173 C175:D175 C177:D177 C179:D179 C181:D181 C183:D183 C185:D185 C187:D187 C189:D189 C191:D191 C193:D193 C195:D195 C197:D197 C199:D199 C201:D201 C203:D203 C205:D205 C207:D207 C209:D209">
    <cfRule type="expression" dxfId="806" priority="203">
      <formula>$A$2="PRINT"</formula>
    </cfRule>
  </conditionalFormatting>
  <conditionalFormatting sqref="E8">
    <cfRule type="expression" dxfId="805" priority="202">
      <formula>$A$2="PRINT"</formula>
    </cfRule>
  </conditionalFormatting>
  <conditionalFormatting sqref="E11">
    <cfRule type="expression" dxfId="804" priority="201">
      <formula>$A$2="PRINT"</formula>
    </cfRule>
  </conditionalFormatting>
  <conditionalFormatting sqref="E13">
    <cfRule type="expression" dxfId="803" priority="200">
      <formula>$A$2="PRINT"</formula>
    </cfRule>
  </conditionalFormatting>
  <conditionalFormatting sqref="E15">
    <cfRule type="expression" dxfId="802" priority="199">
      <formula>$A$2="PRINT"</formula>
    </cfRule>
  </conditionalFormatting>
  <conditionalFormatting sqref="E17">
    <cfRule type="expression" dxfId="801" priority="198">
      <formula>$A$2="PRINT"</formula>
    </cfRule>
  </conditionalFormatting>
  <conditionalFormatting sqref="E19">
    <cfRule type="expression" dxfId="800" priority="197">
      <formula>$A$2="PRINT"</formula>
    </cfRule>
  </conditionalFormatting>
  <conditionalFormatting sqref="E21">
    <cfRule type="expression" dxfId="799" priority="196">
      <formula>$A$2="PRINT"</formula>
    </cfRule>
  </conditionalFormatting>
  <conditionalFormatting sqref="E23">
    <cfRule type="expression" dxfId="798" priority="195">
      <formula>$A$2="PRINT"</formula>
    </cfRule>
  </conditionalFormatting>
  <conditionalFormatting sqref="E25">
    <cfRule type="expression" dxfId="797" priority="194">
      <formula>$A$2="PRINT"</formula>
    </cfRule>
  </conditionalFormatting>
  <conditionalFormatting sqref="E27">
    <cfRule type="expression" dxfId="796" priority="193">
      <formula>$A$2="PRINT"</formula>
    </cfRule>
  </conditionalFormatting>
  <conditionalFormatting sqref="E29">
    <cfRule type="expression" dxfId="795" priority="192">
      <formula>$A$2="PRINT"</formula>
    </cfRule>
  </conditionalFormatting>
  <conditionalFormatting sqref="E31">
    <cfRule type="expression" dxfId="794" priority="191">
      <formula>$A$2="PRINT"</formula>
    </cfRule>
  </conditionalFormatting>
  <conditionalFormatting sqref="E33">
    <cfRule type="expression" dxfId="793" priority="190">
      <formula>$A$2="PRINT"</formula>
    </cfRule>
  </conditionalFormatting>
  <conditionalFormatting sqref="E35">
    <cfRule type="expression" dxfId="792" priority="189">
      <formula>$A$2="PRINT"</formula>
    </cfRule>
  </conditionalFormatting>
  <conditionalFormatting sqref="E37">
    <cfRule type="expression" dxfId="791" priority="188">
      <formula>$A$2="PRINT"</formula>
    </cfRule>
  </conditionalFormatting>
  <conditionalFormatting sqref="E39">
    <cfRule type="expression" dxfId="790" priority="187">
      <formula>$A$2="PRINT"</formula>
    </cfRule>
  </conditionalFormatting>
  <conditionalFormatting sqref="E41">
    <cfRule type="expression" dxfId="789" priority="186">
      <formula>$A$2="PRINT"</formula>
    </cfRule>
  </conditionalFormatting>
  <conditionalFormatting sqref="E43">
    <cfRule type="expression" dxfId="788" priority="185">
      <formula>$A$2="PRINT"</formula>
    </cfRule>
  </conditionalFormatting>
  <conditionalFormatting sqref="E45">
    <cfRule type="expression" dxfId="787" priority="184">
      <formula>$A$2="PRINT"</formula>
    </cfRule>
  </conditionalFormatting>
  <conditionalFormatting sqref="E47">
    <cfRule type="expression" dxfId="786" priority="183">
      <formula>$A$2="PRINT"</formula>
    </cfRule>
  </conditionalFormatting>
  <conditionalFormatting sqref="E49">
    <cfRule type="expression" dxfId="785" priority="182">
      <formula>$A$2="PRINT"</formula>
    </cfRule>
  </conditionalFormatting>
  <conditionalFormatting sqref="E51">
    <cfRule type="expression" dxfId="784" priority="181">
      <formula>$A$2="PRINT"</formula>
    </cfRule>
  </conditionalFormatting>
  <conditionalFormatting sqref="E53">
    <cfRule type="expression" dxfId="783" priority="180">
      <formula>$A$2="PRINT"</formula>
    </cfRule>
  </conditionalFormatting>
  <conditionalFormatting sqref="E55">
    <cfRule type="expression" dxfId="782" priority="179">
      <formula>$A$2="PRINT"</formula>
    </cfRule>
  </conditionalFormatting>
  <conditionalFormatting sqref="E57">
    <cfRule type="expression" dxfId="781" priority="178">
      <formula>$A$2="PRINT"</formula>
    </cfRule>
  </conditionalFormatting>
  <conditionalFormatting sqref="E59">
    <cfRule type="expression" dxfId="780" priority="177">
      <formula>$A$2="PRINT"</formula>
    </cfRule>
  </conditionalFormatting>
  <conditionalFormatting sqref="E61">
    <cfRule type="expression" dxfId="779" priority="176">
      <formula>$A$2="PRINT"</formula>
    </cfRule>
  </conditionalFormatting>
  <conditionalFormatting sqref="E63">
    <cfRule type="expression" dxfId="778" priority="175">
      <formula>$A$2="PRINT"</formula>
    </cfRule>
  </conditionalFormatting>
  <conditionalFormatting sqref="E65">
    <cfRule type="expression" dxfId="777" priority="174">
      <formula>$A$2="PRINT"</formula>
    </cfRule>
  </conditionalFormatting>
  <conditionalFormatting sqref="E67">
    <cfRule type="expression" dxfId="776" priority="173">
      <formula>$A$2="PRINT"</formula>
    </cfRule>
  </conditionalFormatting>
  <conditionalFormatting sqref="E69">
    <cfRule type="expression" dxfId="775" priority="172">
      <formula>$A$2="PRINT"</formula>
    </cfRule>
  </conditionalFormatting>
  <conditionalFormatting sqref="E71">
    <cfRule type="expression" dxfId="774" priority="171">
      <formula>$A$2="PRINT"</formula>
    </cfRule>
  </conditionalFormatting>
  <conditionalFormatting sqref="E73">
    <cfRule type="expression" dxfId="773" priority="170">
      <formula>$A$2="PRINT"</formula>
    </cfRule>
  </conditionalFormatting>
  <conditionalFormatting sqref="E75">
    <cfRule type="expression" dxfId="772" priority="169">
      <formula>$A$2="PRINT"</formula>
    </cfRule>
  </conditionalFormatting>
  <conditionalFormatting sqref="E77">
    <cfRule type="expression" dxfId="771" priority="168">
      <formula>$A$2="PRINT"</formula>
    </cfRule>
  </conditionalFormatting>
  <conditionalFormatting sqref="E79">
    <cfRule type="expression" dxfId="770" priority="167">
      <formula>$A$2="PRINT"</formula>
    </cfRule>
  </conditionalFormatting>
  <conditionalFormatting sqref="E81">
    <cfRule type="expression" dxfId="769" priority="166">
      <formula>$A$2="PRINT"</formula>
    </cfRule>
  </conditionalFormatting>
  <conditionalFormatting sqref="E83">
    <cfRule type="expression" dxfId="768" priority="165">
      <formula>$A$2="PRINT"</formula>
    </cfRule>
  </conditionalFormatting>
  <conditionalFormatting sqref="E85">
    <cfRule type="expression" dxfId="767" priority="164">
      <formula>$A$2="PRINT"</formula>
    </cfRule>
  </conditionalFormatting>
  <conditionalFormatting sqref="E87">
    <cfRule type="expression" dxfId="766" priority="163">
      <formula>$A$2="PRINT"</formula>
    </cfRule>
  </conditionalFormatting>
  <conditionalFormatting sqref="E89">
    <cfRule type="expression" dxfId="765" priority="162">
      <formula>$A$2="PRINT"</formula>
    </cfRule>
  </conditionalFormatting>
  <conditionalFormatting sqref="E91">
    <cfRule type="expression" dxfId="764" priority="161">
      <formula>$A$2="PRINT"</formula>
    </cfRule>
  </conditionalFormatting>
  <conditionalFormatting sqref="E93">
    <cfRule type="expression" dxfId="763" priority="160">
      <formula>$A$2="PRINT"</formula>
    </cfRule>
  </conditionalFormatting>
  <conditionalFormatting sqref="E95">
    <cfRule type="expression" dxfId="762" priority="159">
      <formula>$A$2="PRINT"</formula>
    </cfRule>
  </conditionalFormatting>
  <conditionalFormatting sqref="E97">
    <cfRule type="expression" dxfId="761" priority="158">
      <formula>$A$2="PRINT"</formula>
    </cfRule>
  </conditionalFormatting>
  <conditionalFormatting sqref="E99">
    <cfRule type="expression" dxfId="760" priority="157">
      <formula>$A$2="PRINT"</formula>
    </cfRule>
  </conditionalFormatting>
  <conditionalFormatting sqref="E101">
    <cfRule type="expression" dxfId="759" priority="156">
      <formula>$A$2="PRINT"</formula>
    </cfRule>
  </conditionalFormatting>
  <conditionalFormatting sqref="E103">
    <cfRule type="expression" dxfId="758" priority="155">
      <formula>$A$2="PRINT"</formula>
    </cfRule>
  </conditionalFormatting>
  <conditionalFormatting sqref="E105">
    <cfRule type="expression" dxfId="757" priority="154">
      <formula>$A$2="PRINT"</formula>
    </cfRule>
  </conditionalFormatting>
  <conditionalFormatting sqref="E107">
    <cfRule type="expression" dxfId="756" priority="153">
      <formula>$A$2="PRINT"</formula>
    </cfRule>
  </conditionalFormatting>
  <conditionalFormatting sqref="E109">
    <cfRule type="expression" dxfId="755" priority="152">
      <formula>$A$2="PRINT"</formula>
    </cfRule>
  </conditionalFormatting>
  <conditionalFormatting sqref="E111">
    <cfRule type="expression" dxfId="754" priority="151">
      <formula>$A$2="PRINT"</formula>
    </cfRule>
  </conditionalFormatting>
  <conditionalFormatting sqref="E113">
    <cfRule type="expression" dxfId="753" priority="150">
      <formula>$A$2="PRINT"</formula>
    </cfRule>
  </conditionalFormatting>
  <conditionalFormatting sqref="E115">
    <cfRule type="expression" dxfId="752" priority="149">
      <formula>$A$2="PRINT"</formula>
    </cfRule>
  </conditionalFormatting>
  <conditionalFormatting sqref="E117">
    <cfRule type="expression" dxfId="751" priority="148">
      <formula>$A$2="PRINT"</formula>
    </cfRule>
  </conditionalFormatting>
  <conditionalFormatting sqref="E119">
    <cfRule type="expression" dxfId="750" priority="147">
      <formula>$A$2="PRINT"</formula>
    </cfRule>
  </conditionalFormatting>
  <conditionalFormatting sqref="E121">
    <cfRule type="expression" dxfId="749" priority="146">
      <formula>$A$2="PRINT"</formula>
    </cfRule>
  </conditionalFormatting>
  <conditionalFormatting sqref="E123">
    <cfRule type="expression" dxfId="748" priority="145">
      <formula>$A$2="PRINT"</formula>
    </cfRule>
  </conditionalFormatting>
  <conditionalFormatting sqref="E125">
    <cfRule type="expression" dxfId="747" priority="144">
      <formula>$A$2="PRINT"</formula>
    </cfRule>
  </conditionalFormatting>
  <conditionalFormatting sqref="E127">
    <cfRule type="expression" dxfId="746" priority="143">
      <formula>$A$2="PRINT"</formula>
    </cfRule>
  </conditionalFormatting>
  <conditionalFormatting sqref="E129">
    <cfRule type="expression" dxfId="745" priority="142">
      <formula>$A$2="PRINT"</formula>
    </cfRule>
  </conditionalFormatting>
  <conditionalFormatting sqref="E131">
    <cfRule type="expression" dxfId="744" priority="141">
      <formula>$A$2="PRINT"</formula>
    </cfRule>
  </conditionalFormatting>
  <conditionalFormatting sqref="E133">
    <cfRule type="expression" dxfId="743" priority="140">
      <formula>$A$2="PRINT"</formula>
    </cfRule>
  </conditionalFormatting>
  <conditionalFormatting sqref="E135">
    <cfRule type="expression" dxfId="742" priority="139">
      <formula>$A$2="PRINT"</formula>
    </cfRule>
  </conditionalFormatting>
  <conditionalFormatting sqref="E137">
    <cfRule type="expression" dxfId="741" priority="138">
      <formula>$A$2="PRINT"</formula>
    </cfRule>
  </conditionalFormatting>
  <conditionalFormatting sqref="E139">
    <cfRule type="expression" dxfId="740" priority="137">
      <formula>$A$2="PRINT"</formula>
    </cfRule>
  </conditionalFormatting>
  <conditionalFormatting sqref="E141">
    <cfRule type="expression" dxfId="739" priority="136">
      <formula>$A$2="PRINT"</formula>
    </cfRule>
  </conditionalFormatting>
  <conditionalFormatting sqref="E143">
    <cfRule type="expression" dxfId="738" priority="135">
      <formula>$A$2="PRINT"</formula>
    </cfRule>
  </conditionalFormatting>
  <conditionalFormatting sqref="E145">
    <cfRule type="expression" dxfId="737" priority="134">
      <formula>$A$2="PRINT"</formula>
    </cfRule>
  </conditionalFormatting>
  <conditionalFormatting sqref="E147">
    <cfRule type="expression" dxfId="736" priority="133">
      <formula>$A$2="PRINT"</formula>
    </cfRule>
  </conditionalFormatting>
  <conditionalFormatting sqref="E149">
    <cfRule type="expression" dxfId="735" priority="132">
      <formula>$A$2="PRINT"</formula>
    </cfRule>
  </conditionalFormatting>
  <conditionalFormatting sqref="E151">
    <cfRule type="expression" dxfId="734" priority="131">
      <formula>$A$2="PRINT"</formula>
    </cfRule>
  </conditionalFormatting>
  <conditionalFormatting sqref="E153">
    <cfRule type="expression" dxfId="733" priority="130">
      <formula>$A$2="PRINT"</formula>
    </cfRule>
  </conditionalFormatting>
  <conditionalFormatting sqref="E155">
    <cfRule type="expression" dxfId="732" priority="129">
      <formula>$A$2="PRINT"</formula>
    </cfRule>
  </conditionalFormatting>
  <conditionalFormatting sqref="E157">
    <cfRule type="expression" dxfId="731" priority="128">
      <formula>$A$2="PRINT"</formula>
    </cfRule>
  </conditionalFormatting>
  <conditionalFormatting sqref="E159">
    <cfRule type="expression" dxfId="730" priority="127">
      <formula>$A$2="PRINT"</formula>
    </cfRule>
  </conditionalFormatting>
  <conditionalFormatting sqref="E161">
    <cfRule type="expression" dxfId="729" priority="126">
      <formula>$A$2="PRINT"</formula>
    </cfRule>
  </conditionalFormatting>
  <conditionalFormatting sqref="E163">
    <cfRule type="expression" dxfId="728" priority="125">
      <formula>$A$2="PRINT"</formula>
    </cfRule>
  </conditionalFormatting>
  <conditionalFormatting sqref="E165">
    <cfRule type="expression" dxfId="727" priority="124">
      <formula>$A$2="PRINT"</formula>
    </cfRule>
  </conditionalFormatting>
  <conditionalFormatting sqref="E167">
    <cfRule type="expression" dxfId="726" priority="123">
      <formula>$A$2="PRINT"</formula>
    </cfRule>
  </conditionalFormatting>
  <conditionalFormatting sqref="E169">
    <cfRule type="expression" dxfId="725" priority="122">
      <formula>$A$2="PRINT"</formula>
    </cfRule>
  </conditionalFormatting>
  <conditionalFormatting sqref="E171">
    <cfRule type="expression" dxfId="724" priority="121">
      <formula>$A$2="PRINT"</formula>
    </cfRule>
  </conditionalFormatting>
  <conditionalFormatting sqref="E173">
    <cfRule type="expression" dxfId="723" priority="120">
      <formula>$A$2="PRINT"</formula>
    </cfRule>
  </conditionalFormatting>
  <conditionalFormatting sqref="E175">
    <cfRule type="expression" dxfId="722" priority="119">
      <formula>$A$2="PRINT"</formula>
    </cfRule>
  </conditionalFormatting>
  <conditionalFormatting sqref="E177">
    <cfRule type="expression" dxfId="721" priority="118">
      <formula>$A$2="PRINT"</formula>
    </cfRule>
  </conditionalFormatting>
  <conditionalFormatting sqref="E179">
    <cfRule type="expression" dxfId="720" priority="117">
      <formula>$A$2="PRINT"</formula>
    </cfRule>
  </conditionalFormatting>
  <conditionalFormatting sqref="E181">
    <cfRule type="expression" dxfId="719" priority="116">
      <formula>$A$2="PRINT"</formula>
    </cfRule>
  </conditionalFormatting>
  <conditionalFormatting sqref="E183">
    <cfRule type="expression" dxfId="718" priority="115">
      <formula>$A$2="PRINT"</formula>
    </cfRule>
  </conditionalFormatting>
  <conditionalFormatting sqref="E185">
    <cfRule type="expression" dxfId="717" priority="114">
      <formula>$A$2="PRINT"</formula>
    </cfRule>
  </conditionalFormatting>
  <conditionalFormatting sqref="E187">
    <cfRule type="expression" dxfId="716" priority="113">
      <formula>$A$2="PRINT"</formula>
    </cfRule>
  </conditionalFormatting>
  <conditionalFormatting sqref="E189">
    <cfRule type="expression" dxfId="715" priority="112">
      <formula>$A$2="PRINT"</formula>
    </cfRule>
  </conditionalFormatting>
  <conditionalFormatting sqref="E191">
    <cfRule type="expression" dxfId="714" priority="111">
      <formula>$A$2="PRINT"</formula>
    </cfRule>
  </conditionalFormatting>
  <conditionalFormatting sqref="E193">
    <cfRule type="expression" dxfId="713" priority="110">
      <formula>$A$2="PRINT"</formula>
    </cfRule>
  </conditionalFormatting>
  <conditionalFormatting sqref="E195">
    <cfRule type="expression" dxfId="712" priority="109">
      <formula>$A$2="PRINT"</formula>
    </cfRule>
  </conditionalFormatting>
  <conditionalFormatting sqref="E197">
    <cfRule type="expression" dxfId="711" priority="108">
      <formula>$A$2="PRINT"</formula>
    </cfRule>
  </conditionalFormatting>
  <conditionalFormatting sqref="E199">
    <cfRule type="expression" dxfId="710" priority="107">
      <formula>$A$2="PRINT"</formula>
    </cfRule>
  </conditionalFormatting>
  <conditionalFormatting sqref="E201">
    <cfRule type="expression" dxfId="709" priority="106">
      <formula>$A$2="PRINT"</formula>
    </cfRule>
  </conditionalFormatting>
  <conditionalFormatting sqref="E203">
    <cfRule type="expression" dxfId="708" priority="105">
      <formula>$A$2="PRINT"</formula>
    </cfRule>
  </conditionalFormatting>
  <conditionalFormatting sqref="E205">
    <cfRule type="expression" dxfId="707" priority="104">
      <formula>$A$2="PRINT"</formula>
    </cfRule>
  </conditionalFormatting>
  <conditionalFormatting sqref="E207">
    <cfRule type="expression" dxfId="706" priority="103">
      <formula>$A$2="PRINT"</formula>
    </cfRule>
  </conditionalFormatting>
  <conditionalFormatting sqref="E209">
    <cfRule type="expression" dxfId="705" priority="102">
      <formula>$A$2="PRINT"</formula>
    </cfRule>
  </conditionalFormatting>
  <conditionalFormatting sqref="F8">
    <cfRule type="expression" dxfId="704" priority="101">
      <formula>$A$2="PRINT"</formula>
    </cfRule>
  </conditionalFormatting>
  <conditionalFormatting sqref="F11">
    <cfRule type="expression" dxfId="703" priority="100">
      <formula>$A$2="PRINT"</formula>
    </cfRule>
  </conditionalFormatting>
  <conditionalFormatting sqref="F13">
    <cfRule type="expression" dxfId="702" priority="99">
      <formula>$A$2="PRINT"</formula>
    </cfRule>
  </conditionalFormatting>
  <conditionalFormatting sqref="F15">
    <cfRule type="expression" dxfId="701" priority="98">
      <formula>$A$2="PRINT"</formula>
    </cfRule>
  </conditionalFormatting>
  <conditionalFormatting sqref="F17">
    <cfRule type="expression" dxfId="700" priority="97">
      <formula>$A$2="PRINT"</formula>
    </cfRule>
  </conditionalFormatting>
  <conditionalFormatting sqref="F19">
    <cfRule type="expression" dxfId="699" priority="96">
      <formula>$A$2="PRINT"</formula>
    </cfRule>
  </conditionalFormatting>
  <conditionalFormatting sqref="F21">
    <cfRule type="expression" dxfId="698" priority="95">
      <formula>$A$2="PRINT"</formula>
    </cfRule>
  </conditionalFormatting>
  <conditionalFormatting sqref="F23">
    <cfRule type="expression" dxfId="697" priority="94">
      <formula>$A$2="PRINT"</formula>
    </cfRule>
  </conditionalFormatting>
  <conditionalFormatting sqref="F25">
    <cfRule type="expression" dxfId="696" priority="93">
      <formula>$A$2="PRINT"</formula>
    </cfRule>
  </conditionalFormatting>
  <conditionalFormatting sqref="F27">
    <cfRule type="expression" dxfId="695" priority="92">
      <formula>$A$2="PRINT"</formula>
    </cfRule>
  </conditionalFormatting>
  <conditionalFormatting sqref="F29">
    <cfRule type="expression" dxfId="694" priority="91">
      <formula>$A$2="PRINT"</formula>
    </cfRule>
  </conditionalFormatting>
  <conditionalFormatting sqref="F31">
    <cfRule type="expression" dxfId="693" priority="90">
      <formula>$A$2="PRINT"</formula>
    </cfRule>
  </conditionalFormatting>
  <conditionalFormatting sqref="F33">
    <cfRule type="expression" dxfId="692" priority="89">
      <formula>$A$2="PRINT"</formula>
    </cfRule>
  </conditionalFormatting>
  <conditionalFormatting sqref="F35">
    <cfRule type="expression" dxfId="691" priority="88">
      <formula>$A$2="PRINT"</formula>
    </cfRule>
  </conditionalFormatting>
  <conditionalFormatting sqref="F37">
    <cfRule type="expression" dxfId="690" priority="87">
      <formula>$A$2="PRINT"</formula>
    </cfRule>
  </conditionalFormatting>
  <conditionalFormatting sqref="F39">
    <cfRule type="expression" dxfId="689" priority="86">
      <formula>$A$2="PRINT"</formula>
    </cfRule>
  </conditionalFormatting>
  <conditionalFormatting sqref="F41">
    <cfRule type="expression" dxfId="688" priority="85">
      <formula>$A$2="PRINT"</formula>
    </cfRule>
  </conditionalFormatting>
  <conditionalFormatting sqref="F43">
    <cfRule type="expression" dxfId="687" priority="84">
      <formula>$A$2="PRINT"</formula>
    </cfRule>
  </conditionalFormatting>
  <conditionalFormatting sqref="F45">
    <cfRule type="expression" dxfId="686" priority="83">
      <formula>$A$2="PRINT"</formula>
    </cfRule>
  </conditionalFormatting>
  <conditionalFormatting sqref="F47">
    <cfRule type="expression" dxfId="685" priority="82">
      <formula>$A$2="PRINT"</formula>
    </cfRule>
  </conditionalFormatting>
  <conditionalFormatting sqref="F49">
    <cfRule type="expression" dxfId="684" priority="81">
      <formula>$A$2="PRINT"</formula>
    </cfRule>
  </conditionalFormatting>
  <conditionalFormatting sqref="F51">
    <cfRule type="expression" dxfId="683" priority="80">
      <formula>$A$2="PRINT"</formula>
    </cfRule>
  </conditionalFormatting>
  <conditionalFormatting sqref="F53">
    <cfRule type="expression" dxfId="682" priority="79">
      <formula>$A$2="PRINT"</formula>
    </cfRule>
  </conditionalFormatting>
  <conditionalFormatting sqref="F55">
    <cfRule type="expression" dxfId="681" priority="78">
      <formula>$A$2="PRINT"</formula>
    </cfRule>
  </conditionalFormatting>
  <conditionalFormatting sqref="F57">
    <cfRule type="expression" dxfId="680" priority="77">
      <formula>$A$2="PRINT"</formula>
    </cfRule>
  </conditionalFormatting>
  <conditionalFormatting sqref="F59">
    <cfRule type="expression" dxfId="679" priority="76">
      <formula>$A$2="PRINT"</formula>
    </cfRule>
  </conditionalFormatting>
  <conditionalFormatting sqref="F61">
    <cfRule type="expression" dxfId="678" priority="75">
      <formula>$A$2="PRINT"</formula>
    </cfRule>
  </conditionalFormatting>
  <conditionalFormatting sqref="F63">
    <cfRule type="expression" dxfId="677" priority="74">
      <formula>$A$2="PRINT"</formula>
    </cfRule>
  </conditionalFormatting>
  <conditionalFormatting sqref="F65">
    <cfRule type="expression" dxfId="676" priority="73">
      <formula>$A$2="PRINT"</formula>
    </cfRule>
  </conditionalFormatting>
  <conditionalFormatting sqref="F67">
    <cfRule type="expression" dxfId="675" priority="72">
      <formula>$A$2="PRINT"</formula>
    </cfRule>
  </conditionalFormatting>
  <conditionalFormatting sqref="F69">
    <cfRule type="expression" dxfId="674" priority="71">
      <formula>$A$2="PRINT"</formula>
    </cfRule>
  </conditionalFormatting>
  <conditionalFormatting sqref="F71">
    <cfRule type="expression" dxfId="673" priority="70">
      <formula>$A$2="PRINT"</formula>
    </cfRule>
  </conditionalFormatting>
  <conditionalFormatting sqref="F73">
    <cfRule type="expression" dxfId="672" priority="69">
      <formula>$A$2="PRINT"</formula>
    </cfRule>
  </conditionalFormatting>
  <conditionalFormatting sqref="F75">
    <cfRule type="expression" dxfId="671" priority="68">
      <formula>$A$2="PRINT"</formula>
    </cfRule>
  </conditionalFormatting>
  <conditionalFormatting sqref="F77">
    <cfRule type="expression" dxfId="670" priority="67">
      <formula>$A$2="PRINT"</formula>
    </cfRule>
  </conditionalFormatting>
  <conditionalFormatting sqref="F79">
    <cfRule type="expression" dxfId="669" priority="66">
      <formula>$A$2="PRINT"</formula>
    </cfRule>
  </conditionalFormatting>
  <conditionalFormatting sqref="F81">
    <cfRule type="expression" dxfId="668" priority="65">
      <formula>$A$2="PRINT"</formula>
    </cfRule>
  </conditionalFormatting>
  <conditionalFormatting sqref="F83">
    <cfRule type="expression" dxfId="667" priority="64">
      <formula>$A$2="PRINT"</formula>
    </cfRule>
  </conditionalFormatting>
  <conditionalFormatting sqref="F85">
    <cfRule type="expression" dxfId="666" priority="63">
      <formula>$A$2="PRINT"</formula>
    </cfRule>
  </conditionalFormatting>
  <conditionalFormatting sqref="F87">
    <cfRule type="expression" dxfId="665" priority="62">
      <formula>$A$2="PRINT"</formula>
    </cfRule>
  </conditionalFormatting>
  <conditionalFormatting sqref="F89">
    <cfRule type="expression" dxfId="664" priority="61">
      <formula>$A$2="PRINT"</formula>
    </cfRule>
  </conditionalFormatting>
  <conditionalFormatting sqref="F91">
    <cfRule type="expression" dxfId="663" priority="60">
      <formula>$A$2="PRINT"</formula>
    </cfRule>
  </conditionalFormatting>
  <conditionalFormatting sqref="F93">
    <cfRule type="expression" dxfId="662" priority="59">
      <formula>$A$2="PRINT"</formula>
    </cfRule>
  </conditionalFormatting>
  <conditionalFormatting sqref="F95">
    <cfRule type="expression" dxfId="661" priority="58">
      <formula>$A$2="PRINT"</formula>
    </cfRule>
  </conditionalFormatting>
  <conditionalFormatting sqref="F97">
    <cfRule type="expression" dxfId="660" priority="57">
      <formula>$A$2="PRINT"</formula>
    </cfRule>
  </conditionalFormatting>
  <conditionalFormatting sqref="F99">
    <cfRule type="expression" dxfId="659" priority="56">
      <formula>$A$2="PRINT"</formula>
    </cfRule>
  </conditionalFormatting>
  <conditionalFormatting sqref="F101">
    <cfRule type="expression" dxfId="658" priority="55">
      <formula>$A$2="PRINT"</formula>
    </cfRule>
  </conditionalFormatting>
  <conditionalFormatting sqref="F103">
    <cfRule type="expression" dxfId="657" priority="54">
      <formula>$A$2="PRINT"</formula>
    </cfRule>
  </conditionalFormatting>
  <conditionalFormatting sqref="F105">
    <cfRule type="expression" dxfId="656" priority="53">
      <formula>$A$2="PRINT"</formula>
    </cfRule>
  </conditionalFormatting>
  <conditionalFormatting sqref="F107">
    <cfRule type="expression" dxfId="655" priority="52">
      <formula>$A$2="PRINT"</formula>
    </cfRule>
  </conditionalFormatting>
  <conditionalFormatting sqref="F109">
    <cfRule type="expression" dxfId="654" priority="51">
      <formula>$A$2="PRINT"</formula>
    </cfRule>
  </conditionalFormatting>
  <conditionalFormatting sqref="F111">
    <cfRule type="expression" dxfId="653" priority="50">
      <formula>$A$2="PRINT"</formula>
    </cfRule>
  </conditionalFormatting>
  <conditionalFormatting sqref="F113">
    <cfRule type="expression" dxfId="652" priority="49">
      <formula>$A$2="PRINT"</formula>
    </cfRule>
  </conditionalFormatting>
  <conditionalFormatting sqref="F115">
    <cfRule type="expression" dxfId="651" priority="48">
      <formula>$A$2="PRINT"</formula>
    </cfRule>
  </conditionalFormatting>
  <conditionalFormatting sqref="F117">
    <cfRule type="expression" dxfId="650" priority="47">
      <formula>$A$2="PRINT"</formula>
    </cfRule>
  </conditionalFormatting>
  <conditionalFormatting sqref="F119">
    <cfRule type="expression" dxfId="649" priority="46">
      <formula>$A$2="PRINT"</formula>
    </cfRule>
  </conditionalFormatting>
  <conditionalFormatting sqref="F121">
    <cfRule type="expression" dxfId="648" priority="45">
      <formula>$A$2="PRINT"</formula>
    </cfRule>
  </conditionalFormatting>
  <conditionalFormatting sqref="F123">
    <cfRule type="expression" dxfId="647" priority="44">
      <formula>$A$2="PRINT"</formula>
    </cfRule>
  </conditionalFormatting>
  <conditionalFormatting sqref="F125">
    <cfRule type="expression" dxfId="646" priority="43">
      <formula>$A$2="PRINT"</formula>
    </cfRule>
  </conditionalFormatting>
  <conditionalFormatting sqref="F127">
    <cfRule type="expression" dxfId="645" priority="42">
      <formula>$A$2="PRINT"</formula>
    </cfRule>
  </conditionalFormatting>
  <conditionalFormatting sqref="F129">
    <cfRule type="expression" dxfId="644" priority="41">
      <formula>$A$2="PRINT"</formula>
    </cfRule>
  </conditionalFormatting>
  <conditionalFormatting sqref="F131">
    <cfRule type="expression" dxfId="643" priority="40">
      <formula>$A$2="PRINT"</formula>
    </cfRule>
  </conditionalFormatting>
  <conditionalFormatting sqref="F133">
    <cfRule type="expression" dxfId="642" priority="39">
      <formula>$A$2="PRINT"</formula>
    </cfRule>
  </conditionalFormatting>
  <conditionalFormatting sqref="F135">
    <cfRule type="expression" dxfId="641" priority="38">
      <formula>$A$2="PRINT"</formula>
    </cfRule>
  </conditionalFormatting>
  <conditionalFormatting sqref="F137">
    <cfRule type="expression" dxfId="640" priority="37">
      <formula>$A$2="PRINT"</formula>
    </cfRule>
  </conditionalFormatting>
  <conditionalFormatting sqref="F139">
    <cfRule type="expression" dxfId="639" priority="36">
      <formula>$A$2="PRINT"</formula>
    </cfRule>
  </conditionalFormatting>
  <conditionalFormatting sqref="F141">
    <cfRule type="expression" dxfId="638" priority="35">
      <formula>$A$2="PRINT"</formula>
    </cfRule>
  </conditionalFormatting>
  <conditionalFormatting sqref="F143">
    <cfRule type="expression" dxfId="637" priority="34">
      <formula>$A$2="PRINT"</formula>
    </cfRule>
  </conditionalFormatting>
  <conditionalFormatting sqref="F145">
    <cfRule type="expression" dxfId="636" priority="33">
      <formula>$A$2="PRINT"</formula>
    </cfRule>
  </conditionalFormatting>
  <conditionalFormatting sqref="F147">
    <cfRule type="expression" dxfId="635" priority="32">
      <formula>$A$2="PRINT"</formula>
    </cfRule>
  </conditionalFormatting>
  <conditionalFormatting sqref="F149">
    <cfRule type="expression" dxfId="634" priority="31">
      <formula>$A$2="PRINT"</formula>
    </cfRule>
  </conditionalFormatting>
  <conditionalFormatting sqref="F151">
    <cfRule type="expression" dxfId="633" priority="30">
      <formula>$A$2="PRINT"</formula>
    </cfRule>
  </conditionalFormatting>
  <conditionalFormatting sqref="F153">
    <cfRule type="expression" dxfId="632" priority="29">
      <formula>$A$2="PRINT"</formula>
    </cfRule>
  </conditionalFormatting>
  <conditionalFormatting sqref="F155">
    <cfRule type="expression" dxfId="631" priority="28">
      <formula>$A$2="PRINT"</formula>
    </cfRule>
  </conditionalFormatting>
  <conditionalFormatting sqref="F157">
    <cfRule type="expression" dxfId="630" priority="27">
      <formula>$A$2="PRINT"</formula>
    </cfRule>
  </conditionalFormatting>
  <conditionalFormatting sqref="F159">
    <cfRule type="expression" dxfId="629" priority="26">
      <formula>$A$2="PRINT"</formula>
    </cfRule>
  </conditionalFormatting>
  <conditionalFormatting sqref="F161">
    <cfRule type="expression" dxfId="628" priority="25">
      <formula>$A$2="PRINT"</formula>
    </cfRule>
  </conditionalFormatting>
  <conditionalFormatting sqref="F163">
    <cfRule type="expression" dxfId="627" priority="24">
      <formula>$A$2="PRINT"</formula>
    </cfRule>
  </conditionalFormatting>
  <conditionalFormatting sqref="F165">
    <cfRule type="expression" dxfId="626" priority="23">
      <formula>$A$2="PRINT"</formula>
    </cfRule>
  </conditionalFormatting>
  <conditionalFormatting sqref="F167">
    <cfRule type="expression" dxfId="625" priority="22">
      <formula>$A$2="PRINT"</formula>
    </cfRule>
  </conditionalFormatting>
  <conditionalFormatting sqref="F169">
    <cfRule type="expression" dxfId="624" priority="21">
      <formula>$A$2="PRINT"</formula>
    </cfRule>
  </conditionalFormatting>
  <conditionalFormatting sqref="F171">
    <cfRule type="expression" dxfId="623" priority="20">
      <formula>$A$2="PRINT"</formula>
    </cfRule>
  </conditionalFormatting>
  <conditionalFormatting sqref="F173">
    <cfRule type="expression" dxfId="622" priority="19">
      <formula>$A$2="PRINT"</formula>
    </cfRule>
  </conditionalFormatting>
  <conditionalFormatting sqref="F175">
    <cfRule type="expression" dxfId="621" priority="18">
      <formula>$A$2="PRINT"</formula>
    </cfRule>
  </conditionalFormatting>
  <conditionalFormatting sqref="F177">
    <cfRule type="expression" dxfId="620" priority="17">
      <formula>$A$2="PRINT"</formula>
    </cfRule>
  </conditionalFormatting>
  <conditionalFormatting sqref="F179">
    <cfRule type="expression" dxfId="619" priority="16">
      <formula>$A$2="PRINT"</formula>
    </cfRule>
  </conditionalFormatting>
  <conditionalFormatting sqref="F181">
    <cfRule type="expression" dxfId="618" priority="15">
      <formula>$A$2="PRINT"</formula>
    </cfRule>
  </conditionalFormatting>
  <conditionalFormatting sqref="F183">
    <cfRule type="expression" dxfId="617" priority="14">
      <formula>$A$2="PRINT"</formula>
    </cfRule>
  </conditionalFormatting>
  <conditionalFormatting sqref="F185">
    <cfRule type="expression" dxfId="616" priority="13">
      <formula>$A$2="PRINT"</formula>
    </cfRule>
  </conditionalFormatting>
  <conditionalFormatting sqref="F187">
    <cfRule type="expression" dxfId="615" priority="12">
      <formula>$A$2="PRINT"</formula>
    </cfRule>
  </conditionalFormatting>
  <conditionalFormatting sqref="F189">
    <cfRule type="expression" dxfId="614" priority="11">
      <formula>$A$2="PRINT"</formula>
    </cfRule>
  </conditionalFormatting>
  <conditionalFormatting sqref="F191">
    <cfRule type="expression" dxfId="613" priority="10">
      <formula>$A$2="PRINT"</formula>
    </cfRule>
  </conditionalFormatting>
  <conditionalFormatting sqref="F193">
    <cfRule type="expression" dxfId="612" priority="9">
      <formula>$A$2="PRINT"</formula>
    </cfRule>
  </conditionalFormatting>
  <conditionalFormatting sqref="F195">
    <cfRule type="expression" dxfId="611" priority="8">
      <formula>$A$2="PRINT"</formula>
    </cfRule>
  </conditionalFormatting>
  <conditionalFormatting sqref="F197">
    <cfRule type="expression" dxfId="610" priority="7">
      <formula>$A$2="PRINT"</formula>
    </cfRule>
  </conditionalFormatting>
  <conditionalFormatting sqref="F199">
    <cfRule type="expression" dxfId="609" priority="6">
      <formula>$A$2="PRINT"</formula>
    </cfRule>
  </conditionalFormatting>
  <conditionalFormatting sqref="F201">
    <cfRule type="expression" dxfId="608" priority="5">
      <formula>$A$2="PRINT"</formula>
    </cfRule>
  </conditionalFormatting>
  <conditionalFormatting sqref="F203">
    <cfRule type="expression" dxfId="607" priority="4">
      <formula>$A$2="PRINT"</formula>
    </cfRule>
  </conditionalFormatting>
  <conditionalFormatting sqref="F205">
    <cfRule type="expression" dxfId="606" priority="3">
      <formula>$A$2="PRINT"</formula>
    </cfRule>
  </conditionalFormatting>
  <conditionalFormatting sqref="F207">
    <cfRule type="expression" dxfId="605" priority="2">
      <formula>$A$2="PRINT"</formula>
    </cfRule>
  </conditionalFormatting>
  <conditionalFormatting sqref="F209">
    <cfRule type="expression" dxfId="604" priority="1">
      <formula>$A$2="PRINT"</formula>
    </cfRule>
  </conditionalFormatting>
  <pageMargins left="0.70866141732283472" right="0.70866141732283472" top="0.74803149606299213" bottom="0.74803149606299213" header="0.31496062992125984" footer="0.31496062992125984"/>
  <pageSetup paperSize="9" scale="63" fitToHeight="0" orientation="portrait" r:id="rId1"/>
  <headerFooter>
    <oddFooter>&amp;C&amp;P</oddFooter>
  </headerFooter>
  <drawing r:id="rId2"/>
  <picture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5">
    <tabColor theme="1"/>
    <pageSetUpPr fitToPage="1"/>
  </sheetPr>
  <dimension ref="A1:I98"/>
  <sheetViews>
    <sheetView showGridLines="0" topLeftCell="A7"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7" width="21.5703125" style="10" customWidth="1"/>
    <col min="8" max="8" width="34.42578125" style="10" customWidth="1"/>
    <col min="9" max="9" width="42.7109375" style="10" customWidth="1"/>
    <col min="10" max="16384" width="9.140625" style="10"/>
  </cols>
  <sheetData>
    <row r="1" spans="1:9" s="9" customFormat="1">
      <c r="A1" s="8"/>
      <c r="C1" s="36"/>
      <c r="D1" s="37"/>
    </row>
    <row r="2" spans="1:9" ht="21">
      <c r="A2" s="104"/>
      <c r="B2" s="621" t="s">
        <v>1057</v>
      </c>
      <c r="C2" s="621"/>
      <c r="D2" s="621"/>
      <c r="E2" s="621"/>
      <c r="F2" s="621"/>
    </row>
    <row r="3" spans="1:9" ht="9" customHeight="1">
      <c r="B3" s="138"/>
      <c r="C3" s="139"/>
      <c r="D3" s="140"/>
      <c r="E3" s="138"/>
      <c r="F3" s="138"/>
    </row>
    <row r="4" spans="1:9" ht="9" customHeight="1">
      <c r="B4"/>
      <c r="C4"/>
      <c r="D4"/>
      <c r="E4"/>
      <c r="F4"/>
      <c r="G4"/>
    </row>
    <row r="5" spans="1:9" ht="15" customHeight="1">
      <c r="B5" s="76" t="s">
        <v>1058</v>
      </c>
      <c r="C5"/>
      <c r="D5"/>
      <c r="E5"/>
      <c r="F5"/>
      <c r="G5"/>
    </row>
    <row r="6" spans="1:9">
      <c r="B6" s="112" t="s">
        <v>1008</v>
      </c>
      <c r="C6"/>
      <c r="D6"/>
      <c r="E6"/>
      <c r="F6"/>
      <c r="G6"/>
    </row>
    <row r="7" spans="1:9">
      <c r="B7" s="125" t="s">
        <v>1229</v>
      </c>
      <c r="C7"/>
      <c r="D7"/>
      <c r="E7"/>
      <c r="F7"/>
      <c r="G7"/>
    </row>
    <row r="8" spans="1:9">
      <c r="B8" s="913" t="s">
        <v>1643</v>
      </c>
      <c r="C8" s="913"/>
      <c r="D8" s="913"/>
      <c r="E8" s="913"/>
      <c r="F8" s="913"/>
      <c r="G8"/>
      <c r="H8"/>
      <c r="I8"/>
    </row>
    <row r="9" spans="1:9">
      <c r="B9" s="913" t="s">
        <v>1564</v>
      </c>
      <c r="C9" s="913"/>
      <c r="D9" s="913"/>
      <c r="E9" s="913"/>
      <c r="F9" s="913"/>
      <c r="G9"/>
      <c r="I9"/>
    </row>
    <row r="10" spans="1:9">
      <c r="B10" s="913" t="s">
        <v>1592</v>
      </c>
      <c r="C10" s="913"/>
      <c r="D10" s="913"/>
      <c r="E10" s="913"/>
      <c r="F10" s="913"/>
      <c r="G10"/>
      <c r="I10"/>
    </row>
    <row r="11" spans="1:9" ht="30" customHeight="1">
      <c r="B11" s="914" t="s">
        <v>1642</v>
      </c>
      <c r="C11" s="914"/>
      <c r="D11" s="914"/>
      <c r="E11" s="914"/>
      <c r="F11" s="914"/>
      <c r="G11"/>
      <c r="I11"/>
    </row>
    <row r="12" spans="1:9">
      <c r="B12" s="915" t="s">
        <v>1624</v>
      </c>
      <c r="C12" s="915"/>
      <c r="D12" s="915"/>
      <c r="E12" s="915"/>
      <c r="F12" s="915"/>
      <c r="G12"/>
      <c r="I12"/>
    </row>
    <row r="13" spans="1:9" ht="30" customHeight="1">
      <c r="B13" s="914" t="s">
        <v>1625</v>
      </c>
      <c r="C13" s="914"/>
      <c r="D13" s="914"/>
      <c r="E13" s="914"/>
      <c r="F13" s="914"/>
      <c r="G13"/>
      <c r="I13"/>
    </row>
    <row r="14" spans="1:9" ht="9" customHeight="1">
      <c r="C14"/>
      <c r="D14"/>
      <c r="E14"/>
      <c r="F14"/>
      <c r="G14"/>
      <c r="I14" s="16"/>
    </row>
    <row r="15" spans="1:9">
      <c r="B15" s="112" t="s">
        <v>1062</v>
      </c>
      <c r="C15"/>
      <c r="D15"/>
      <c r="E15"/>
      <c r="F15"/>
      <c r="G15"/>
      <c r="I15" s="16"/>
    </row>
    <row r="16" spans="1:9">
      <c r="B16" s="125" t="s">
        <v>1231</v>
      </c>
      <c r="C16"/>
      <c r="D16"/>
      <c r="E16"/>
      <c r="F16"/>
      <c r="G16"/>
      <c r="I16" s="16"/>
    </row>
    <row r="17" spans="2:9" ht="15" customHeight="1">
      <c r="B17" s="913" t="s">
        <v>1643</v>
      </c>
      <c r="C17" s="913"/>
      <c r="D17" s="913"/>
      <c r="E17" s="913"/>
      <c r="F17" s="913"/>
      <c r="G17"/>
      <c r="I17" s="16"/>
    </row>
    <row r="18" spans="2:9">
      <c r="B18" s="913" t="s">
        <v>1564</v>
      </c>
      <c r="C18" s="913"/>
      <c r="D18" s="913"/>
      <c r="E18" s="913"/>
      <c r="F18" s="913"/>
      <c r="G18"/>
      <c r="I18" s="16"/>
    </row>
    <row r="19" spans="2:9">
      <c r="B19" s="913" t="s">
        <v>1592</v>
      </c>
      <c r="C19" s="913"/>
      <c r="D19" s="913"/>
      <c r="E19" s="913"/>
      <c r="F19" s="913"/>
      <c r="G19"/>
      <c r="I19"/>
    </row>
    <row r="20" spans="2:9">
      <c r="B20" s="915" t="s">
        <v>1661</v>
      </c>
      <c r="C20" s="915"/>
      <c r="D20" s="915"/>
      <c r="E20" s="915"/>
      <c r="F20" s="915"/>
      <c r="G20"/>
      <c r="I20"/>
    </row>
    <row r="21" spans="2:9" ht="30" customHeight="1">
      <c r="B21" s="914" t="s">
        <v>1662</v>
      </c>
      <c r="C21" s="914"/>
      <c r="D21" s="914"/>
      <c r="E21" s="914"/>
      <c r="F21" s="914"/>
      <c r="G21"/>
      <c r="I21"/>
    </row>
    <row r="22" spans="2:9" customFormat="1" ht="9" customHeight="1">
      <c r="H22" s="10"/>
      <c r="I22" s="16"/>
    </row>
    <row r="23" spans="2:9">
      <c r="B23" s="111" t="s">
        <v>1126</v>
      </c>
      <c r="C23"/>
      <c r="D23"/>
      <c r="E23"/>
      <c r="F23"/>
      <c r="G23"/>
      <c r="I23" s="16"/>
    </row>
    <row r="24" spans="2:9">
      <c r="B24" s="345" t="s">
        <v>1442</v>
      </c>
      <c r="C24"/>
      <c r="D24"/>
      <c r="E24"/>
      <c r="F24"/>
      <c r="G24"/>
      <c r="I24" s="16"/>
    </row>
    <row r="25" spans="2:9">
      <c r="B25" s="345" t="s">
        <v>1439</v>
      </c>
      <c r="C25"/>
      <c r="D25"/>
      <c r="E25"/>
      <c r="F25"/>
      <c r="G25"/>
      <c r="I25" s="16"/>
    </row>
    <row r="26" spans="2:9">
      <c r="B26" s="345" t="s">
        <v>1440</v>
      </c>
      <c r="C26"/>
      <c r="D26"/>
      <c r="E26"/>
      <c r="F26"/>
      <c r="I26" s="16"/>
    </row>
    <row r="27" spans="2:9">
      <c r="B27" s="345" t="s">
        <v>1441</v>
      </c>
      <c r="C27"/>
      <c r="D27"/>
      <c r="E27"/>
      <c r="F27"/>
      <c r="G27"/>
      <c r="I27" s="16"/>
    </row>
    <row r="28" spans="2:9" ht="9" customHeight="1">
      <c r="B28" s="113"/>
      <c r="C28"/>
      <c r="D28"/>
      <c r="E28"/>
      <c r="F28"/>
      <c r="G28"/>
      <c r="I28" s="16"/>
    </row>
    <row r="29" spans="2:9">
      <c r="B29" s="111" t="s">
        <v>1127</v>
      </c>
      <c r="C29"/>
      <c r="D29"/>
      <c r="E29"/>
      <c r="F29"/>
      <c r="G29"/>
      <c r="I29" s="16"/>
    </row>
    <row r="30" spans="2:9" ht="9" customHeight="1">
      <c r="B30" s="112"/>
      <c r="C30"/>
      <c r="D30"/>
      <c r="E30"/>
      <c r="F30"/>
      <c r="G30"/>
      <c r="I30" s="16"/>
    </row>
    <row r="31" spans="2:9">
      <c r="B31" s="111" t="s">
        <v>1136</v>
      </c>
      <c r="C31"/>
      <c r="D31"/>
      <c r="E31"/>
      <c r="F31"/>
      <c r="G31"/>
      <c r="I31" s="16"/>
    </row>
    <row r="32" spans="2:9">
      <c r="B32" s="345" t="s">
        <v>1137</v>
      </c>
      <c r="C32"/>
      <c r="D32"/>
      <c r="E32"/>
      <c r="F32"/>
      <c r="G32"/>
      <c r="I32" s="16"/>
    </row>
    <row r="33" spans="2:9">
      <c r="B33" s="345" t="s">
        <v>1142</v>
      </c>
      <c r="C33"/>
      <c r="D33"/>
      <c r="E33"/>
      <c r="F33"/>
      <c r="G33"/>
      <c r="I33" s="16"/>
    </row>
    <row r="34" spans="2:9" ht="9" customHeight="1">
      <c r="B34" s="112"/>
      <c r="C34"/>
      <c r="D34"/>
      <c r="E34"/>
      <c r="F34"/>
      <c r="G34"/>
      <c r="I34" s="16"/>
    </row>
    <row r="35" spans="2:9">
      <c r="B35" s="111" t="s">
        <v>1630</v>
      </c>
      <c r="C35"/>
      <c r="D35"/>
      <c r="E35"/>
      <c r="F35"/>
      <c r="G35"/>
      <c r="I35" s="16"/>
    </row>
    <row r="36" spans="2:9" ht="15" customHeight="1">
      <c r="B36" s="917" t="s">
        <v>1633</v>
      </c>
      <c r="C36" s="917"/>
      <c r="D36" s="917"/>
      <c r="E36" s="917"/>
      <c r="F36" s="917"/>
      <c r="G36"/>
      <c r="I36" s="16"/>
    </row>
    <row r="37" spans="2:9">
      <c r="B37" s="345" t="s">
        <v>1634</v>
      </c>
      <c r="C37"/>
      <c r="D37"/>
      <c r="E37"/>
      <c r="F37"/>
      <c r="G37"/>
      <c r="I37" s="16"/>
    </row>
    <row r="38" spans="2:9" ht="15" customHeight="1">
      <c r="B38" s="917" t="s">
        <v>1638</v>
      </c>
      <c r="C38" s="917"/>
      <c r="D38" s="917"/>
      <c r="E38" s="917"/>
      <c r="F38" s="917"/>
      <c r="G38"/>
      <c r="I38" s="16"/>
    </row>
    <row r="39" spans="2:9" ht="30" customHeight="1">
      <c r="B39" s="918" t="s">
        <v>1640</v>
      </c>
      <c r="C39" s="918"/>
      <c r="D39" s="918"/>
      <c r="E39" s="918"/>
      <c r="F39" s="918"/>
      <c r="G39"/>
      <c r="I39" s="16"/>
    </row>
    <row r="40" spans="2:9" ht="9" customHeight="1">
      <c r="B40" s="113"/>
      <c r="C40"/>
      <c r="D40"/>
      <c r="E40"/>
      <c r="F40"/>
      <c r="G40"/>
      <c r="I40" s="16"/>
    </row>
    <row r="41" spans="2:9">
      <c r="B41" s="76" t="s">
        <v>1183</v>
      </c>
      <c r="C41"/>
      <c r="D41"/>
      <c r="E41"/>
      <c r="F41"/>
      <c r="G41"/>
      <c r="I41" s="16"/>
    </row>
    <row r="42" spans="2:9">
      <c r="B42" s="123" t="s">
        <v>410</v>
      </c>
      <c r="C42"/>
      <c r="D42"/>
      <c r="E42"/>
      <c r="F42"/>
      <c r="G42"/>
      <c r="I42" s="16"/>
    </row>
    <row r="43" spans="2:9">
      <c r="B43" s="123" t="s">
        <v>411</v>
      </c>
      <c r="C43"/>
      <c r="D43"/>
      <c r="E43"/>
      <c r="F43"/>
      <c r="G43"/>
      <c r="H43"/>
      <c r="I43" s="16"/>
    </row>
    <row r="44" spans="2:9">
      <c r="B44" s="123" t="s">
        <v>1174</v>
      </c>
      <c r="C44"/>
      <c r="D44"/>
      <c r="E44"/>
      <c r="F44"/>
      <c r="G44"/>
      <c r="H44"/>
    </row>
    <row r="45" spans="2:9">
      <c r="B45" s="123" t="s">
        <v>1176</v>
      </c>
      <c r="C45"/>
      <c r="D45"/>
      <c r="E45"/>
      <c r="F45"/>
      <c r="G45"/>
      <c r="H45"/>
    </row>
    <row r="46" spans="2:9">
      <c r="B46" s="123" t="s">
        <v>1187</v>
      </c>
      <c r="C46"/>
      <c r="D46"/>
      <c r="E46"/>
      <c r="F46"/>
      <c r="G46"/>
      <c r="H46"/>
    </row>
    <row r="47" spans="2:9">
      <c r="B47" s="123" t="s">
        <v>1423</v>
      </c>
      <c r="C47"/>
      <c r="D47"/>
      <c r="E47"/>
      <c r="F47"/>
      <c r="G47"/>
      <c r="H47"/>
    </row>
    <row r="48" spans="2:9">
      <c r="B48" s="864" t="s">
        <v>1558</v>
      </c>
      <c r="C48" s="864"/>
      <c r="D48" s="864"/>
      <c r="E48" s="864"/>
      <c r="F48" s="864"/>
      <c r="G48"/>
      <c r="H48"/>
    </row>
    <row r="49" spans="2:8">
      <c r="B49" s="93"/>
      <c r="C49"/>
      <c r="D49"/>
      <c r="E49"/>
      <c r="F49"/>
      <c r="G49"/>
      <c r="H49"/>
    </row>
    <row r="50" spans="2:8">
      <c r="B50" s="9" t="s">
        <v>1200</v>
      </c>
      <c r="C50"/>
      <c r="D50"/>
      <c r="E50"/>
      <c r="F50"/>
      <c r="G50"/>
      <c r="H50"/>
    </row>
    <row r="51" spans="2:8">
      <c r="B51" s="916" t="s">
        <v>1201</v>
      </c>
      <c r="C51" s="916"/>
      <c r="D51" s="916"/>
      <c r="E51" s="916"/>
      <c r="F51" s="916"/>
      <c r="G51"/>
      <c r="H51"/>
    </row>
    <row r="52" spans="2:8">
      <c r="B52" s="916" t="s">
        <v>1202</v>
      </c>
      <c r="C52" s="916"/>
      <c r="D52" s="916"/>
      <c r="E52" s="916"/>
      <c r="F52" s="916"/>
      <c r="G52"/>
      <c r="H52"/>
    </row>
    <row r="53" spans="2:8" ht="30" customHeight="1">
      <c r="B53" s="916" t="s">
        <v>1203</v>
      </c>
      <c r="C53" s="916"/>
      <c r="D53" s="916"/>
      <c r="E53" s="916"/>
      <c r="F53" s="916"/>
      <c r="G53"/>
      <c r="H53"/>
    </row>
    <row r="54" spans="2:8">
      <c r="B54" s="916" t="s">
        <v>1204</v>
      </c>
      <c r="C54" s="916"/>
      <c r="D54" s="916"/>
      <c r="E54" s="916"/>
      <c r="F54" s="916"/>
      <c r="G54"/>
      <c r="H54"/>
    </row>
    <row r="55" spans="2:8">
      <c r="B55" s="916" t="s">
        <v>1205</v>
      </c>
      <c r="C55" s="916"/>
      <c r="D55" s="916"/>
      <c r="E55" s="916"/>
      <c r="F55" s="916"/>
      <c r="G55"/>
      <c r="H55"/>
    </row>
    <row r="56" spans="2:8">
      <c r="B56" s="916" t="s">
        <v>1206</v>
      </c>
      <c r="C56" s="916"/>
      <c r="D56" s="916"/>
      <c r="E56" s="916"/>
      <c r="F56" s="916"/>
      <c r="G56"/>
      <c r="H56"/>
    </row>
    <row r="57" spans="2:8">
      <c r="B57" s="123"/>
      <c r="C57"/>
      <c r="D57"/>
      <c r="E57"/>
      <c r="F57"/>
      <c r="G57"/>
      <c r="H57"/>
    </row>
    <row r="58" spans="2:8">
      <c r="B58" s="123"/>
      <c r="C58"/>
      <c r="D58"/>
      <c r="E58"/>
      <c r="F58"/>
      <c r="G58"/>
      <c r="H58"/>
    </row>
    <row r="59" spans="2:8">
      <c r="B59" s="124"/>
      <c r="C59"/>
      <c r="D59"/>
      <c r="E59"/>
      <c r="F59"/>
      <c r="G59"/>
      <c r="H59"/>
    </row>
    <row r="60" spans="2:8">
      <c r="C60"/>
      <c r="D60"/>
      <c r="E60"/>
      <c r="F60"/>
      <c r="G60"/>
      <c r="H60"/>
    </row>
    <row r="61" spans="2:8" ht="30" customHeight="1">
      <c r="B61"/>
      <c r="C61"/>
      <c r="D61"/>
      <c r="E61"/>
      <c r="F61"/>
      <c r="G61"/>
      <c r="H61"/>
    </row>
    <row r="62" spans="2:8">
      <c r="B62"/>
      <c r="C62"/>
      <c r="D62"/>
      <c r="E62"/>
      <c r="F62"/>
      <c r="G62"/>
      <c r="H62"/>
    </row>
    <row r="63" spans="2:8" ht="30" customHeight="1">
      <c r="B63"/>
      <c r="C63"/>
      <c r="D63"/>
      <c r="E63"/>
      <c r="F63"/>
      <c r="G63"/>
      <c r="H63"/>
    </row>
    <row r="64" spans="2:8">
      <c r="B64"/>
      <c r="C64"/>
      <c r="D64"/>
      <c r="E64"/>
      <c r="F64"/>
      <c r="G64"/>
      <c r="H64"/>
    </row>
    <row r="65" spans="2:8" ht="30" customHeight="1">
      <c r="B65"/>
      <c r="C65"/>
      <c r="D65"/>
      <c r="E65"/>
      <c r="F65"/>
      <c r="G65"/>
      <c r="H65"/>
    </row>
    <row r="66" spans="2:8">
      <c r="B66"/>
      <c r="C66"/>
      <c r="D66"/>
      <c r="E66"/>
      <c r="F66"/>
      <c r="G66"/>
      <c r="H66"/>
    </row>
    <row r="67" spans="2:8">
      <c r="B67"/>
      <c r="C67"/>
      <c r="D67"/>
      <c r="E67"/>
      <c r="F67"/>
      <c r="G67"/>
      <c r="H67"/>
    </row>
    <row r="68" spans="2:8" ht="30" customHeight="1">
      <c r="B68"/>
      <c r="C68"/>
      <c r="D68"/>
      <c r="E68"/>
      <c r="F68"/>
      <c r="G68"/>
      <c r="H68"/>
    </row>
    <row r="69" spans="2:8" ht="30" customHeight="1">
      <c r="B69"/>
      <c r="C69"/>
      <c r="D69"/>
      <c r="E69"/>
      <c r="F69"/>
      <c r="G69"/>
      <c r="H69"/>
    </row>
    <row r="70" spans="2:8" ht="45" customHeight="1">
      <c r="B70"/>
      <c r="C70"/>
      <c r="D70"/>
      <c r="E70"/>
      <c r="F70"/>
      <c r="G70"/>
      <c r="H70"/>
    </row>
    <row r="71" spans="2:8" ht="30" customHeight="1">
      <c r="B71"/>
      <c r="C71"/>
      <c r="D71"/>
      <c r="E71"/>
      <c r="F71"/>
      <c r="G71"/>
      <c r="H71"/>
    </row>
    <row r="72" spans="2:8" ht="45" customHeight="1">
      <c r="B72"/>
      <c r="C72"/>
      <c r="D72"/>
      <c r="E72"/>
      <c r="F72"/>
      <c r="G72"/>
      <c r="H72"/>
    </row>
    <row r="73" spans="2:8" ht="30" customHeight="1">
      <c r="B73"/>
      <c r="C73"/>
      <c r="D73"/>
      <c r="E73"/>
      <c r="F73"/>
      <c r="G73"/>
      <c r="H73"/>
    </row>
    <row r="74" spans="2:8" ht="30" customHeight="1">
      <c r="B74"/>
      <c r="C74"/>
      <c r="D74"/>
      <c r="E74"/>
      <c r="F74"/>
      <c r="G74"/>
      <c r="H74"/>
    </row>
    <row r="75" spans="2:8" ht="45" customHeight="1">
      <c r="B75"/>
      <c r="C75"/>
      <c r="D75"/>
      <c r="E75"/>
      <c r="F75"/>
      <c r="G75"/>
      <c r="H75"/>
    </row>
    <row r="76" spans="2:8">
      <c r="B76"/>
      <c r="C76"/>
      <c r="D76"/>
      <c r="E76"/>
      <c r="F76"/>
      <c r="G76"/>
      <c r="H76"/>
    </row>
    <row r="77" spans="2:8">
      <c r="B77"/>
      <c r="C77"/>
      <c r="D77"/>
      <c r="E77"/>
      <c r="F77"/>
      <c r="G77"/>
      <c r="H77"/>
    </row>
    <row r="78" spans="2:8" ht="15" customHeight="1">
      <c r="B78"/>
      <c r="C78"/>
      <c r="D78"/>
      <c r="E78"/>
      <c r="F78"/>
      <c r="G78"/>
      <c r="H78"/>
    </row>
    <row r="79" spans="2:8">
      <c r="B79"/>
      <c r="C79"/>
      <c r="D79"/>
      <c r="E79"/>
      <c r="F79"/>
      <c r="G79"/>
      <c r="H79"/>
    </row>
    <row r="80" spans="2:8" ht="45" customHeight="1">
      <c r="B80"/>
      <c r="C80"/>
      <c r="D80"/>
      <c r="E80"/>
      <c r="F80"/>
      <c r="G80"/>
      <c r="H80"/>
    </row>
    <row r="81" spans="2:8" ht="45" customHeight="1">
      <c r="B81"/>
      <c r="C81"/>
      <c r="D81"/>
      <c r="E81"/>
      <c r="F81"/>
      <c r="G81"/>
      <c r="H81"/>
    </row>
    <row r="82" spans="2:8" ht="30" customHeight="1">
      <c r="B82"/>
      <c r="C82"/>
      <c r="D82"/>
      <c r="E82"/>
      <c r="F82"/>
      <c r="G82"/>
      <c r="H82"/>
    </row>
    <row r="83" spans="2:8">
      <c r="B83"/>
      <c r="C83"/>
      <c r="D83"/>
      <c r="E83"/>
      <c r="F83"/>
      <c r="G83"/>
      <c r="H83"/>
    </row>
    <row r="84" spans="2:8" ht="30" customHeight="1">
      <c r="B84"/>
      <c r="C84"/>
      <c r="D84"/>
      <c r="E84"/>
      <c r="F84"/>
      <c r="G84"/>
      <c r="H84"/>
    </row>
    <row r="85" spans="2:8" ht="30" customHeight="1">
      <c r="B85"/>
      <c r="C85"/>
      <c r="D85"/>
      <c r="E85"/>
      <c r="F85"/>
      <c r="G85"/>
      <c r="H85"/>
    </row>
    <row r="86" spans="2:8">
      <c r="B86"/>
      <c r="C86"/>
      <c r="D86"/>
      <c r="E86"/>
      <c r="F86"/>
      <c r="G86"/>
      <c r="H86"/>
    </row>
    <row r="87" spans="2:8">
      <c r="B87"/>
      <c r="C87"/>
      <c r="D87"/>
      <c r="E87"/>
      <c r="F87"/>
      <c r="G87"/>
    </row>
    <row r="88" spans="2:8">
      <c r="B88"/>
      <c r="C88"/>
      <c r="D88"/>
      <c r="E88"/>
      <c r="F88"/>
      <c r="G88"/>
    </row>
    <row r="89" spans="2:8">
      <c r="B89"/>
      <c r="C89"/>
      <c r="D89"/>
      <c r="E89"/>
      <c r="F89"/>
      <c r="G89"/>
    </row>
    <row r="90" spans="2:8">
      <c r="B90"/>
      <c r="C90"/>
      <c r="D90"/>
      <c r="E90"/>
      <c r="F90"/>
      <c r="G90"/>
    </row>
    <row r="91" spans="2:8">
      <c r="B91"/>
      <c r="C91"/>
      <c r="D91"/>
      <c r="E91"/>
      <c r="F91"/>
      <c r="G91"/>
    </row>
    <row r="92" spans="2:8">
      <c r="B92"/>
      <c r="C92"/>
      <c r="D92"/>
      <c r="E92"/>
      <c r="F92"/>
      <c r="G92"/>
    </row>
    <row r="93" spans="2:8">
      <c r="B93"/>
      <c r="C93"/>
      <c r="D93"/>
      <c r="E93"/>
      <c r="F93"/>
      <c r="G93"/>
    </row>
    <row r="94" spans="2:8">
      <c r="B94"/>
      <c r="C94"/>
      <c r="D94"/>
      <c r="E94"/>
      <c r="F94"/>
      <c r="G94"/>
    </row>
    <row r="95" spans="2:8">
      <c r="B95"/>
      <c r="C95"/>
      <c r="D95"/>
      <c r="E95"/>
      <c r="F95"/>
      <c r="G95"/>
    </row>
    <row r="96" spans="2:8">
      <c r="B96"/>
      <c r="C96"/>
      <c r="D96"/>
      <c r="E96"/>
      <c r="F96"/>
      <c r="G96"/>
    </row>
    <row r="97" spans="2:7">
      <c r="B97"/>
      <c r="C97"/>
      <c r="D97"/>
      <c r="E97"/>
      <c r="F97"/>
      <c r="G97"/>
    </row>
    <row r="98" spans="2:7">
      <c r="B98"/>
      <c r="C98"/>
      <c r="D98"/>
      <c r="E98"/>
      <c r="F98"/>
      <c r="G98"/>
    </row>
  </sheetData>
  <sheetProtection formatCells="0" formatColumns="0" formatRows="0" insertHyperlinks="0"/>
  <mergeCells count="22">
    <mergeCell ref="B53:F53"/>
    <mergeCell ref="B54:F54"/>
    <mergeCell ref="B55:F55"/>
    <mergeCell ref="B56:F56"/>
    <mergeCell ref="B20:F20"/>
    <mergeCell ref="B21:F21"/>
    <mergeCell ref="B51:F51"/>
    <mergeCell ref="B52:F52"/>
    <mergeCell ref="B36:F36"/>
    <mergeCell ref="B38:F38"/>
    <mergeCell ref="B39:F39"/>
    <mergeCell ref="B48:F48"/>
    <mergeCell ref="B12:F12"/>
    <mergeCell ref="B13:F13"/>
    <mergeCell ref="B17:F17"/>
    <mergeCell ref="B18:F18"/>
    <mergeCell ref="B19:F19"/>
    <mergeCell ref="B2:F2"/>
    <mergeCell ref="B8:F8"/>
    <mergeCell ref="B9:F9"/>
    <mergeCell ref="B10:F10"/>
    <mergeCell ref="B11:F11"/>
  </mergeCells>
  <hyperlinks>
    <hyperlink ref="B23" location="'3.4.3 Pensions'!B2" display="3.4.3 - Pension assumptions" xr:uid="{00000000-0004-0000-1F00-000000000000}"/>
    <hyperlink ref="B29" location="'3.4.4 Interest rates'!B2" display="3.4.4 - Interest rate assumptions for loans financing the provision of air navigation services" xr:uid="{00000000-0004-0000-1F00-000001000000}"/>
    <hyperlink ref="B31" location="'3.4.5 Restructuring costs'!B2" display="3.4.5 - Restructuring costs" xr:uid="{00000000-0004-0000-1F00-000002000000}"/>
    <hyperlink ref="B35" location="'3.4.6 Add. capacity measures'!B2" display="3.4.6 - Additional determined costs related to measures necessary to achieve the en route capacity targets" xr:uid="{00000000-0004-0000-1F00-000003000000}"/>
  </hyperlinks>
  <pageMargins left="0.70866141732283472" right="0.70866141732283472" top="0.74803149606299213" bottom="0.74803149606299213" header="0.31496062992125984" footer="0.31496062992125984"/>
  <pageSetup scale="78" fitToHeight="0" orientation="portrait" r:id="rId1"/>
  <headerFooter>
    <oddFooter>&amp;C&amp;P</oddFooter>
  </headerFooter>
  <picture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
    <tabColor rgb="FF00FF99"/>
    <pageSetUpPr fitToPage="1"/>
  </sheetPr>
  <dimension ref="A2:U197"/>
  <sheetViews>
    <sheetView showGridLines="0" zoomScale="95" zoomScaleNormal="95" workbookViewId="0">
      <selection activeCell="C196" sqref="C196:I196"/>
    </sheetView>
  </sheetViews>
  <sheetFormatPr defaultRowHeight="15"/>
  <cols>
    <col min="1" max="1" width="6.5703125" customWidth="1"/>
    <col min="2" max="2" width="1.5703125" customWidth="1"/>
    <col min="3" max="3" width="63.28515625" customWidth="1"/>
    <col min="4" max="9" width="16.28515625" customWidth="1"/>
    <col min="10" max="10" width="13.140625" customWidth="1"/>
    <col min="11" max="12" width="14" customWidth="1"/>
    <col min="13" max="13" width="1.42578125" customWidth="1"/>
  </cols>
  <sheetData>
    <row r="2" spans="1:21" ht="18.75">
      <c r="A2" s="365"/>
      <c r="C2" s="42" t="s">
        <v>1058</v>
      </c>
    </row>
    <row r="3" spans="1:21">
      <c r="A3" s="107"/>
      <c r="C3" s="86"/>
    </row>
    <row r="4" spans="1:21" ht="18" thickBot="1">
      <c r="C4" s="32" t="s">
        <v>1008</v>
      </c>
      <c r="D4" s="32"/>
      <c r="E4" s="32"/>
      <c r="F4" s="32"/>
      <c r="G4" s="32"/>
      <c r="H4" s="32"/>
      <c r="I4" s="32"/>
      <c r="J4" s="32"/>
      <c r="K4" s="32"/>
      <c r="L4" s="32"/>
      <c r="O4" s="443" t="str">
        <f>MID($C$6,FIND(" -",$C$6)+3,LEN($C$6)-FIND(" -",$C$6)+1)</f>
        <v>Cyprus</v>
      </c>
      <c r="P4" s="443">
        <f>INDEX(Table_CRCO_Factor[May 2019 (based on 12 months)],MATCH($O$4,Table_CRCO_Factor[ECZ],0))</f>
        <v>-8.5000000000000006E-3</v>
      </c>
      <c r="Q4" s="443" t="str">
        <f>IF(AND($F$16&lt;&gt;"",ROUND($F$16/1000,0)&lt;&gt;ROUND('1.2 Traffic forecasts'!$F$13+'1.2 Traffic forecasts'!$G$13,0)),", 2020/2021","")&amp;IF(AND($G$16&lt;&gt;"",ROUND($G$16/1000,0)&lt;&gt;ROUND('1.2 Traffic forecasts'!$H$13,0)),", 2022","")&amp;IF(AND($H$16&lt;&gt;"",ROUND($H$16/1000,0)&lt;&gt;ROUND('1.2 Traffic forecasts'!$I$13,0)),", 2023","")&amp;IF(AND($I$16&lt;&gt;"",ROUND($I$16/1000,0)&lt;&gt;ROUND('1.2 Traffic forecasts'!$J$13,0)),", 2024","")</f>
        <v>, 2022, 2023, 2024</v>
      </c>
      <c r="R4" s="443" t="str">
        <f>IF(AND($F$16&lt;&gt;"",ROUND($F$16/1000,0)&lt;&gt;ROUND('1.2 Traffic forecasts'!$F$19+'1.2 Traffic forecasts'!$G$19,0)),", 2020/2021","")&amp;IF(AND($G$16&lt;&gt;"",ROUND($G$16/1000,0)&lt;&gt;ROUND('1.2 Traffic forecasts'!$H$19,0)),", 2022","")&amp;IF(AND($H$16&lt;&gt;"",ROUND($H$16/1000,0)&lt;&gt;ROUND('1.2 Traffic forecasts'!$I$19,0)),", 2023","")&amp;IF(AND($I$16&lt;&gt;"",ROUND($I$16/1000,0)&lt;&gt;ROUND('1.2 Traffic forecasts'!$J$19,0)),", 2024","")</f>
        <v>, 2020/2021</v>
      </c>
    </row>
    <row r="5" spans="1:21">
      <c r="C5" s="227"/>
      <c r="D5" s="227"/>
      <c r="E5" s="227"/>
      <c r="F5" s="227"/>
      <c r="G5" s="247"/>
      <c r="H5" s="247"/>
      <c r="I5" s="247"/>
      <c r="J5" s="247"/>
      <c r="K5" s="247"/>
      <c r="L5" s="247"/>
    </row>
    <row r="6" spans="1:21" ht="15.75">
      <c r="C6" s="117" t="str">
        <f>"En Route Charging Zone #1 - " &amp; IF('1.1 The situation'!$C$82="","",'1.1 The situation'!$C$82)</f>
        <v>En Route Charging Zone #1 - Cyprus</v>
      </c>
      <c r="D6" s="117"/>
      <c r="E6" s="117"/>
      <c r="F6" s="117"/>
    </row>
    <row r="7" spans="1:21">
      <c r="B7" s="85"/>
    </row>
    <row r="8" spans="1:21">
      <c r="B8" s="85"/>
      <c r="C8" s="76" t="s">
        <v>1643</v>
      </c>
      <c r="F8" s="509"/>
      <c r="G8" s="509"/>
      <c r="H8" s="509"/>
      <c r="I8" s="509"/>
    </row>
    <row r="9" spans="1:21">
      <c r="B9" s="85"/>
    </row>
    <row r="10" spans="1:21">
      <c r="B10" s="85"/>
      <c r="C10" s="251" t="s">
        <v>1059</v>
      </c>
      <c r="D10" s="351" t="s">
        <v>1433</v>
      </c>
      <c r="E10" s="351" t="s">
        <v>1060</v>
      </c>
      <c r="F10" s="418" t="s">
        <v>1559</v>
      </c>
      <c r="G10" s="418"/>
      <c r="H10" s="418"/>
      <c r="I10" s="418"/>
      <c r="J10" s="252"/>
      <c r="K10" s="253" t="s">
        <v>713</v>
      </c>
      <c r="L10" s="419" t="s">
        <v>713</v>
      </c>
      <c r="M10" s="182"/>
    </row>
    <row r="11" spans="1:21">
      <c r="B11" s="85"/>
      <c r="C11" s="254" t="s">
        <v>1070</v>
      </c>
      <c r="D11" s="350" t="s">
        <v>1432</v>
      </c>
      <c r="E11" s="251" t="s">
        <v>710</v>
      </c>
      <c r="F11" s="251" t="s">
        <v>1562</v>
      </c>
      <c r="G11" s="251" t="s">
        <v>711</v>
      </c>
      <c r="H11" s="251" t="s">
        <v>712</v>
      </c>
      <c r="I11" s="251" t="s">
        <v>713</v>
      </c>
      <c r="J11" s="252"/>
      <c r="K11" s="420" t="s">
        <v>1560</v>
      </c>
      <c r="L11" s="421" t="s">
        <v>1561</v>
      </c>
      <c r="M11" s="182"/>
      <c r="O11" s="500" t="str">
        <f>IF(OR(C11='1.1 The situation'!$C$82,C11="Name of the CZ"),"","Attention: The name of the Charging Zone below is different from used in the worksheet '1.1 The situation'.")</f>
        <v/>
      </c>
    </row>
    <row r="12" spans="1:21">
      <c r="B12" s="85"/>
      <c r="C12" s="256" t="s">
        <v>1067</v>
      </c>
      <c r="D12" s="547">
        <v>48120348.145188376</v>
      </c>
      <c r="E12" s="547">
        <v>54965664.233466834</v>
      </c>
      <c r="F12" s="548">
        <v>104852432.48301698</v>
      </c>
      <c r="G12" s="548">
        <v>60180627.598633438</v>
      </c>
      <c r="H12" s="548">
        <v>67188232.802266419</v>
      </c>
      <c r="I12" s="548">
        <v>70838486.879627168</v>
      </c>
      <c r="J12" s="252"/>
      <c r="K12" s="258">
        <v>0.4721108555967588</v>
      </c>
      <c r="L12" s="258">
        <v>0.28877705504913886</v>
      </c>
      <c r="M12" s="182"/>
    </row>
    <row r="13" spans="1:21" ht="15" customHeight="1">
      <c r="B13" s="85"/>
      <c r="C13" s="259" t="s">
        <v>715</v>
      </c>
      <c r="D13" s="549">
        <v>47500260.56400764</v>
      </c>
      <c r="E13" s="549">
        <v>54568353.116997898</v>
      </c>
      <c r="F13" s="550">
        <v>103816176.98729351</v>
      </c>
      <c r="G13" s="550">
        <v>56802748.761571273</v>
      </c>
      <c r="H13" s="550">
        <v>62482519.692634016</v>
      </c>
      <c r="I13" s="550">
        <v>65059225.21103096</v>
      </c>
      <c r="J13" s="252"/>
      <c r="K13" s="262">
        <v>0.36966038582803629</v>
      </c>
      <c r="L13" s="262">
        <v>0.19225194631657638</v>
      </c>
      <c r="M13" s="182"/>
    </row>
    <row r="14" spans="1:21" ht="15" customHeight="1">
      <c r="B14" s="85"/>
      <c r="C14" s="422" t="s">
        <v>1563</v>
      </c>
      <c r="D14" s="548">
        <v>47500260.56400764</v>
      </c>
      <c r="E14" s="548">
        <v>54568353.116997898</v>
      </c>
      <c r="F14" s="548">
        <v>103816176.98729351</v>
      </c>
      <c r="G14" s="548">
        <v>56802748.761571273</v>
      </c>
      <c r="H14" s="548">
        <v>62482519.692634016</v>
      </c>
      <c r="I14" s="548">
        <v>65059225.21103096</v>
      </c>
      <c r="J14" s="252"/>
      <c r="K14" s="258">
        <v>0.36966038582803629</v>
      </c>
      <c r="L14" s="258">
        <v>0.19225194631657638</v>
      </c>
      <c r="M14" s="182"/>
    </row>
    <row r="15" spans="1:21">
      <c r="B15" s="85"/>
      <c r="C15" s="256" t="s">
        <v>714</v>
      </c>
      <c r="D15" s="551"/>
      <c r="E15" s="551"/>
      <c r="F15" s="552">
        <v>0.90249789589041218</v>
      </c>
      <c r="G15" s="552">
        <v>-0.45285262461048248</v>
      </c>
      <c r="H15" s="552">
        <v>9.9991128156552866E-2</v>
      </c>
      <c r="I15" s="552">
        <v>4.1238822170942546E-2</v>
      </c>
      <c r="J15" s="252"/>
      <c r="K15" s="257"/>
      <c r="L15" s="257"/>
      <c r="M15" s="182"/>
    </row>
    <row r="16" spans="1:21">
      <c r="B16" s="85"/>
      <c r="C16" s="256" t="s">
        <v>716</v>
      </c>
      <c r="D16" s="547">
        <v>1441863.0959999999</v>
      </c>
      <c r="E16" s="547">
        <v>2050590.42937695</v>
      </c>
      <c r="F16" s="548">
        <v>2082436.6879999998</v>
      </c>
      <c r="G16" s="548">
        <v>1837000</v>
      </c>
      <c r="H16" s="548">
        <v>2129000</v>
      </c>
      <c r="I16" s="548">
        <v>2235000</v>
      </c>
      <c r="J16" s="252"/>
      <c r="K16" s="258">
        <v>0.55007781681930235</v>
      </c>
      <c r="L16" s="258">
        <v>8.9929986983837029E-2</v>
      </c>
      <c r="M16" s="182"/>
      <c r="O16" s="919" t="str">
        <f>IFERROR(IF('1.2 Traffic forecasts'!$C$8&lt;&gt;"Local Forecast",
IF(SUMPRODUCT((ROUND($G$16:$I$16/1000,0)&lt;&gt;ROUND('1.2 Traffic forecasts'!$H$13:$J$13,0))*($G$16:$I$16&lt;&gt;""))+(ROUND(SUM('1.2 Traffic forecasts'!$F$13:$G$13),0)&lt;&gt;ROUND($F$16/1000,0))*1&lt;&gt;0,"Attention: the TSUs provided below for this CZ do not correspond the figures provided in Section '1.2 Traffic forecasts'"&amp;IF($Q$4&lt;&gt;""," for the year(s) "&amp;MID($Q$4,3,LEN($Q$4)-2),""),""),
IF(SUMPRODUCT((ROUND($G$16:$I$16/1000,0)&lt;&gt;ROUND('1.2 Traffic forecasts'!$H$19:$J$19,0))*($G$16:$I$16&lt;&gt;""))+(ROUND(SUM('1.2 Traffic forecasts'!$F$19:$G$19),0)&lt;&gt;ROUND($F$16/1000,0))*1&lt;&gt;0,"Attention: the TSUs provided below for this CZ do not correspond the figures provided in Section '1.2 Traffic forecasts'"&amp;IF($R$4&lt;&gt;""," for the year(s) "&amp;MID($R$4,3,LEN($R$4)-2),""),"")),"")</f>
        <v>Attention: the TSUs provided below for this CZ do not correspond the figures provided in Section '1.2 Traffic forecasts' for the year(s) 2020/2021</v>
      </c>
      <c r="P16" s="919"/>
      <c r="Q16" s="919"/>
      <c r="R16" s="919"/>
      <c r="S16" s="919"/>
      <c r="T16" s="919"/>
      <c r="U16" s="919"/>
    </row>
    <row r="17" spans="2:21">
      <c r="B17" s="85"/>
      <c r="C17" s="256" t="s">
        <v>714</v>
      </c>
      <c r="D17" s="551"/>
      <c r="E17" s="551"/>
      <c r="F17" s="552">
        <v>1.5530287358614947E-2</v>
      </c>
      <c r="G17" s="552">
        <v>-0.11786033612177693</v>
      </c>
      <c r="H17" s="552">
        <v>0.15895481763745245</v>
      </c>
      <c r="I17" s="552">
        <v>4.9788633161108597E-2</v>
      </c>
      <c r="J17" s="265"/>
      <c r="K17" s="257"/>
      <c r="L17" s="257"/>
      <c r="M17" s="182"/>
      <c r="O17" s="919"/>
      <c r="P17" s="919"/>
      <c r="Q17" s="919"/>
      <c r="R17" s="919"/>
      <c r="S17" s="919"/>
      <c r="T17" s="919"/>
      <c r="U17" s="919"/>
    </row>
    <row r="18" spans="2:21">
      <c r="B18" s="85"/>
      <c r="C18" s="249" t="s">
        <v>717</v>
      </c>
      <c r="D18" s="553">
        <v>32.943668990337791</v>
      </c>
      <c r="E18" s="553">
        <v>26.611044475408924</v>
      </c>
      <c r="F18" s="553">
        <v>49.853221269838443</v>
      </c>
      <c r="G18" s="553">
        <v>30.921474557197207</v>
      </c>
      <c r="H18" s="553">
        <v>29.348294829795218</v>
      </c>
      <c r="I18" s="553">
        <v>29.109273025069779</v>
      </c>
      <c r="J18" s="252"/>
      <c r="K18" s="262">
        <v>-0.11639249915947802</v>
      </c>
      <c r="L18" s="262">
        <v>9.3879387258529068E-2</v>
      </c>
      <c r="M18" s="182"/>
      <c r="O18" s="919"/>
      <c r="P18" s="919"/>
      <c r="Q18" s="919"/>
      <c r="R18" s="919"/>
      <c r="S18" s="919"/>
      <c r="T18" s="919"/>
      <c r="U18" s="919"/>
    </row>
    <row r="19" spans="2:21" ht="17.25">
      <c r="B19" s="85"/>
      <c r="C19" s="256" t="s">
        <v>1068</v>
      </c>
      <c r="D19" s="553">
        <v>32.943668990337791</v>
      </c>
      <c r="E19" s="553">
        <v>26.611044475408924</v>
      </c>
      <c r="F19" s="553">
        <v>49.853221269838443</v>
      </c>
      <c r="G19" s="553">
        <v>30.921474557197207</v>
      </c>
      <c r="H19" s="553">
        <v>29.348294829795218</v>
      </c>
      <c r="I19" s="553">
        <v>29.109273025069779</v>
      </c>
      <c r="J19" s="265"/>
      <c r="K19" s="262">
        <v>-0.11639249915947802</v>
      </c>
      <c r="L19" s="262">
        <v>9.3879387258529068E-2</v>
      </c>
      <c r="M19" s="182"/>
      <c r="O19" s="919"/>
      <c r="P19" s="919"/>
      <c r="Q19" s="919"/>
      <c r="R19" s="919"/>
      <c r="S19" s="919"/>
      <c r="T19" s="919"/>
      <c r="U19" s="919"/>
    </row>
    <row r="20" spans="2:21">
      <c r="B20" s="85"/>
      <c r="C20" s="256" t="s">
        <v>714</v>
      </c>
      <c r="D20" s="524"/>
      <c r="E20" s="524"/>
      <c r="F20" s="566">
        <v>0.87340340270775352</v>
      </c>
      <c r="G20" s="566">
        <v>-0.37974971788021805</v>
      </c>
      <c r="H20" s="566">
        <v>-5.0876607598126955E-2</v>
      </c>
      <c r="I20" s="566">
        <v>-8.1443165986863075E-3</v>
      </c>
      <c r="J20" s="265"/>
      <c r="K20" s="255"/>
      <c r="L20" s="310"/>
      <c r="M20" s="182"/>
      <c r="O20" s="919"/>
      <c r="P20" s="919"/>
      <c r="Q20" s="919"/>
      <c r="R20" s="919"/>
      <c r="S20" s="919"/>
      <c r="T20" s="919"/>
      <c r="U20" s="919"/>
    </row>
    <row r="21" spans="2:21">
      <c r="B21" s="85"/>
      <c r="C21" s="267"/>
      <c r="D21" s="116"/>
      <c r="E21" s="116"/>
      <c r="F21" s="152"/>
      <c r="G21" s="152"/>
      <c r="H21" s="152"/>
      <c r="I21" s="152"/>
    </row>
    <row r="22" spans="2:21">
      <c r="B22" s="85"/>
      <c r="C22" s="352" t="s">
        <v>1061</v>
      </c>
      <c r="D22" s="353"/>
      <c r="E22" s="268" t="s">
        <v>1801</v>
      </c>
      <c r="F22" s="182"/>
    </row>
    <row r="23" spans="2:21" ht="17.25">
      <c r="B23" s="85"/>
      <c r="C23" s="354" t="s">
        <v>1069</v>
      </c>
      <c r="D23" s="355"/>
      <c r="E23" s="529">
        <v>1</v>
      </c>
      <c r="F23" s="182"/>
    </row>
    <row r="24" spans="2:21" ht="8.1" customHeight="1">
      <c r="B24" s="85"/>
      <c r="C24" s="152"/>
      <c r="D24" s="152"/>
      <c r="E24" s="152"/>
    </row>
    <row r="25" spans="2:21" ht="8.1" customHeight="1">
      <c r="B25" s="85"/>
    </row>
    <row r="26" spans="2:21">
      <c r="B26" s="85"/>
      <c r="C26" s="76" t="s">
        <v>1564</v>
      </c>
    </row>
    <row r="27" spans="2:21">
      <c r="B27" s="85"/>
    </row>
    <row r="28" spans="2:21" ht="15" customHeight="1">
      <c r="B28" s="85"/>
      <c r="C28" s="251" t="s">
        <v>1059</v>
      </c>
      <c r="D28" s="351" t="s">
        <v>1433</v>
      </c>
      <c r="E28" s="351" t="s">
        <v>1060</v>
      </c>
      <c r="F28" s="351" t="s">
        <v>1565</v>
      </c>
      <c r="G28" s="351" t="s">
        <v>1566</v>
      </c>
      <c r="H28" s="468" t="s">
        <v>1686</v>
      </c>
      <c r="I28" s="468" t="s">
        <v>1688</v>
      </c>
    </row>
    <row r="29" spans="2:21">
      <c r="B29" s="85"/>
      <c r="C29" s="423" t="s">
        <v>1070</v>
      </c>
      <c r="D29" s="420" t="s">
        <v>1432</v>
      </c>
      <c r="E29" s="424" t="s">
        <v>710</v>
      </c>
      <c r="F29" s="420" t="s">
        <v>1567</v>
      </c>
      <c r="G29" s="425" t="s">
        <v>1568</v>
      </c>
      <c r="H29" s="421" t="s">
        <v>1687</v>
      </c>
      <c r="I29" s="421" t="s">
        <v>1689</v>
      </c>
    </row>
    <row r="30" spans="2:21">
      <c r="B30" s="85"/>
      <c r="C30" s="422" t="s">
        <v>1569</v>
      </c>
      <c r="D30" s="2">
        <v>48120348.145188376</v>
      </c>
      <c r="E30" s="2">
        <v>54965664.233466834</v>
      </c>
      <c r="F30" s="2">
        <v>48120348.145188376</v>
      </c>
      <c r="G30" s="2">
        <v>54756886.207508825</v>
      </c>
      <c r="H30" s="2">
        <v>0</v>
      </c>
      <c r="I30" s="2">
        <v>208778.02595800906</v>
      </c>
    </row>
    <row r="31" spans="2:21">
      <c r="B31" s="85"/>
      <c r="C31" s="426" t="s">
        <v>1570</v>
      </c>
      <c r="D31" s="427">
        <v>47500260.56400764</v>
      </c>
      <c r="E31" s="427">
        <v>54568353.116997898</v>
      </c>
      <c r="F31" s="2">
        <v>47500260.56400764</v>
      </c>
      <c r="G31" s="2">
        <v>54359574.996189095</v>
      </c>
      <c r="H31" s="2">
        <v>0</v>
      </c>
      <c r="I31" s="2">
        <v>208778.12080880255</v>
      </c>
    </row>
    <row r="32" spans="2:21" ht="17.25">
      <c r="B32" s="85"/>
      <c r="C32" s="256" t="s">
        <v>1563</v>
      </c>
      <c r="D32" s="2">
        <v>47500260.56400764</v>
      </c>
      <c r="E32" s="2">
        <v>54568353.116997898</v>
      </c>
      <c r="F32" s="2">
        <v>47500260.56400764</v>
      </c>
      <c r="G32" s="2">
        <v>54359574.996189095</v>
      </c>
      <c r="H32" s="2">
        <v>0</v>
      </c>
      <c r="I32" s="2">
        <v>208778.12080880255</v>
      </c>
    </row>
    <row r="33" spans="2:9">
      <c r="B33" s="85"/>
      <c r="C33" s="422" t="s">
        <v>1571</v>
      </c>
      <c r="D33" s="2">
        <f>D16</f>
        <v>1441863.0959999999</v>
      </c>
      <c r="E33" s="2">
        <f>E16</f>
        <v>2050590.42937695</v>
      </c>
      <c r="F33" s="2">
        <v>1454224</v>
      </c>
      <c r="G33" s="2">
        <v>2068169.8733000003</v>
      </c>
      <c r="H33" s="2">
        <f>D33-F33</f>
        <v>-12360.904000000097</v>
      </c>
      <c r="I33" s="2">
        <f>E33-G33</f>
        <v>-17579.443923050305</v>
      </c>
    </row>
    <row r="34" spans="2:9">
      <c r="B34" s="85"/>
    </row>
    <row r="36" spans="2:9">
      <c r="C36" s="76" t="s">
        <v>1592</v>
      </c>
    </row>
    <row r="38" spans="2:9">
      <c r="C38" s="444" t="s">
        <v>1615</v>
      </c>
      <c r="F38" s="920" t="s">
        <v>1572</v>
      </c>
      <c r="G38" s="920"/>
      <c r="H38" s="921">
        <v>0</v>
      </c>
      <c r="I38" s="921"/>
    </row>
    <row r="40" spans="2:9" hidden="1">
      <c r="C40" s="428" t="s">
        <v>1573</v>
      </c>
      <c r="D40" s="429" t="s">
        <v>259</v>
      </c>
      <c r="E40" s="429" t="s">
        <v>1574</v>
      </c>
      <c r="F40" s="429" t="s">
        <v>1575</v>
      </c>
      <c r="G40" s="429" t="s">
        <v>1576</v>
      </c>
      <c r="H40" s="429" t="s">
        <v>1577</v>
      </c>
      <c r="I40" s="429" t="s">
        <v>1578</v>
      </c>
    </row>
    <row r="41" spans="2:9" hidden="1">
      <c r="C41" s="430" t="s">
        <v>1581</v>
      </c>
      <c r="D41" s="430"/>
      <c r="E41" s="156" t="s">
        <v>240</v>
      </c>
      <c r="F41" s="431" t="s">
        <v>240</v>
      </c>
      <c r="G41" s="432"/>
      <c r="H41" s="451">
        <f>IF(OR(E41="Click to select",F41="Click to select"),0,IF(OR(E41="ANSP",E41="MET"),IF(OR(F41="Staff",F41="Other operating",F41="Exceptional items"),G41/(INDEX(Table_Inflation_IDX_ECZ[Inflation Index 2014 Actual],MATCH($O$4,Table_Inflation_IDX_ECZ[ER_CZ],0))/100),G41),G41))</f>
        <v>0</v>
      </c>
      <c r="I41" s="451">
        <f>IFERROR(H41/$E$23,0)</f>
        <v>0</v>
      </c>
    </row>
    <row r="42" spans="2:9" hidden="1">
      <c r="C42" s="922" t="s">
        <v>1579</v>
      </c>
      <c r="D42" s="923"/>
      <c r="E42" s="923"/>
      <c r="F42" s="923"/>
      <c r="G42" s="923"/>
      <c r="H42" s="923"/>
      <c r="I42" s="924"/>
    </row>
    <row r="43" spans="2:9" ht="30" hidden="1" customHeight="1">
      <c r="C43" s="925" t="s">
        <v>1580</v>
      </c>
      <c r="D43" s="926"/>
      <c r="E43" s="926"/>
      <c r="F43" s="926"/>
      <c r="G43" s="926"/>
      <c r="H43" s="926"/>
      <c r="I43" s="927"/>
    </row>
    <row r="44" spans="2:9" hidden="1"/>
    <row r="45" spans="2:9" hidden="1">
      <c r="C45" s="428" t="s">
        <v>1582</v>
      </c>
      <c r="D45" s="429" t="s">
        <v>259</v>
      </c>
      <c r="E45" s="429" t="s">
        <v>1574</v>
      </c>
      <c r="F45" s="429" t="s">
        <v>1575</v>
      </c>
      <c r="G45" s="429" t="s">
        <v>1576</v>
      </c>
      <c r="H45" s="429" t="s">
        <v>1577</v>
      </c>
      <c r="I45" s="429" t="s">
        <v>1578</v>
      </c>
    </row>
    <row r="46" spans="2:9" hidden="1">
      <c r="C46" s="430" t="s">
        <v>1581</v>
      </c>
      <c r="D46" s="430"/>
      <c r="E46" s="156" t="s">
        <v>240</v>
      </c>
      <c r="F46" s="431" t="s">
        <v>240</v>
      </c>
      <c r="G46" s="432"/>
      <c r="H46" s="451">
        <f>IF(OR(E46="Click to select",F46="Click to select"),0,IF(OR(E46="ANSP",E46="MET"),IF(OR(F46="Staff",F46="Other operating",F46="Exceptional items"),G46/(INDEX(Table_Inflation_IDX_ECZ[Inflation Index 2014 Actual],MATCH($O$4,Table_Inflation_IDX_ECZ[ER_CZ],0))/100),G46),G46))</f>
        <v>0</v>
      </c>
      <c r="I46" s="451">
        <f>IFERROR(H46/$E$23,0)</f>
        <v>0</v>
      </c>
    </row>
    <row r="47" spans="2:9" hidden="1">
      <c r="C47" s="922" t="s">
        <v>1579</v>
      </c>
      <c r="D47" s="923"/>
      <c r="E47" s="923"/>
      <c r="F47" s="923"/>
      <c r="G47" s="923"/>
      <c r="H47" s="923"/>
      <c r="I47" s="924"/>
    </row>
    <row r="48" spans="2:9" ht="30" hidden="1" customHeight="1">
      <c r="C48" s="925" t="s">
        <v>1580</v>
      </c>
      <c r="D48" s="926"/>
      <c r="E48" s="926"/>
      <c r="F48" s="926"/>
      <c r="G48" s="926"/>
      <c r="H48" s="926"/>
      <c r="I48" s="927"/>
    </row>
    <row r="49" spans="3:9" hidden="1"/>
    <row r="50" spans="3:9" hidden="1">
      <c r="C50" s="428" t="s">
        <v>1583</v>
      </c>
      <c r="D50" s="429" t="s">
        <v>259</v>
      </c>
      <c r="E50" s="429" t="s">
        <v>1574</v>
      </c>
      <c r="F50" s="429" t="s">
        <v>1575</v>
      </c>
      <c r="G50" s="429" t="s">
        <v>1576</v>
      </c>
      <c r="H50" s="429" t="s">
        <v>1577</v>
      </c>
      <c r="I50" s="429" t="s">
        <v>1578</v>
      </c>
    </row>
    <row r="51" spans="3:9" hidden="1">
      <c r="C51" s="430" t="s">
        <v>1581</v>
      </c>
      <c r="D51" s="430"/>
      <c r="E51" s="156" t="s">
        <v>240</v>
      </c>
      <c r="F51" s="431" t="s">
        <v>240</v>
      </c>
      <c r="G51" s="432"/>
      <c r="H51" s="451">
        <f>IF(OR(E51="Click to select",F51="Click to select"),0,IF(OR(E51="ANSP",E51="MET"),IF(OR(F51="Staff",F51="Other operating",F51="Exceptional items"),G51/(INDEX(Table_Inflation_IDX_ECZ[Inflation Index 2014 Actual],MATCH($O$4,Table_Inflation_IDX_ECZ[ER_CZ],0))/100),G51),G51))</f>
        <v>0</v>
      </c>
      <c r="I51" s="451">
        <f>IFERROR(H51/$E$23,0)</f>
        <v>0</v>
      </c>
    </row>
    <row r="52" spans="3:9" hidden="1">
      <c r="C52" s="922" t="s">
        <v>1579</v>
      </c>
      <c r="D52" s="923"/>
      <c r="E52" s="923"/>
      <c r="F52" s="923"/>
      <c r="G52" s="923"/>
      <c r="H52" s="923"/>
      <c r="I52" s="924"/>
    </row>
    <row r="53" spans="3:9" ht="30" hidden="1" customHeight="1">
      <c r="C53" s="925" t="s">
        <v>1580</v>
      </c>
      <c r="D53" s="926"/>
      <c r="E53" s="926"/>
      <c r="F53" s="926"/>
      <c r="G53" s="926"/>
      <c r="H53" s="926"/>
      <c r="I53" s="927"/>
    </row>
    <row r="54" spans="3:9" hidden="1"/>
    <row r="55" spans="3:9" hidden="1">
      <c r="C55" s="428" t="s">
        <v>1584</v>
      </c>
      <c r="D55" s="429" t="s">
        <v>259</v>
      </c>
      <c r="E55" s="429" t="s">
        <v>1574</v>
      </c>
      <c r="F55" s="429" t="s">
        <v>1575</v>
      </c>
      <c r="G55" s="429" t="s">
        <v>1576</v>
      </c>
      <c r="H55" s="429" t="s">
        <v>1577</v>
      </c>
      <c r="I55" s="429" t="s">
        <v>1578</v>
      </c>
    </row>
    <row r="56" spans="3:9" hidden="1">
      <c r="C56" s="430" t="s">
        <v>1581</v>
      </c>
      <c r="D56" s="430"/>
      <c r="E56" s="156" t="s">
        <v>240</v>
      </c>
      <c r="F56" s="431" t="s">
        <v>240</v>
      </c>
      <c r="G56" s="432"/>
      <c r="H56" s="451">
        <f>IF(OR(E56="Click to select",F56="Click to select"),0,IF(OR(E56="ANSP",E56="MET"),IF(OR(F56="Staff",F56="Other operating",F56="Exceptional items"),G56/(INDEX(Table_Inflation_IDX_ECZ[Inflation Index 2014 Actual],MATCH($O$4,Table_Inflation_IDX_ECZ[ER_CZ],0))/100),G56),G56))</f>
        <v>0</v>
      </c>
      <c r="I56" s="451">
        <f>IFERROR(H56/$E$23,0)</f>
        <v>0</v>
      </c>
    </row>
    <row r="57" spans="3:9" hidden="1">
      <c r="C57" s="922" t="s">
        <v>1579</v>
      </c>
      <c r="D57" s="923"/>
      <c r="E57" s="923"/>
      <c r="F57" s="923"/>
      <c r="G57" s="923"/>
      <c r="H57" s="923"/>
      <c r="I57" s="924"/>
    </row>
    <row r="58" spans="3:9" ht="30" hidden="1" customHeight="1">
      <c r="C58" s="925" t="s">
        <v>1580</v>
      </c>
      <c r="D58" s="926"/>
      <c r="E58" s="926"/>
      <c r="F58" s="926"/>
      <c r="G58" s="926"/>
      <c r="H58" s="926"/>
      <c r="I58" s="927"/>
    </row>
    <row r="59" spans="3:9" hidden="1"/>
    <row r="60" spans="3:9" hidden="1">
      <c r="C60" s="428" t="s">
        <v>1585</v>
      </c>
      <c r="D60" s="429" t="s">
        <v>259</v>
      </c>
      <c r="E60" s="429" t="s">
        <v>1574</v>
      </c>
      <c r="F60" s="429" t="s">
        <v>1575</v>
      </c>
      <c r="G60" s="429" t="s">
        <v>1576</v>
      </c>
      <c r="H60" s="429" t="s">
        <v>1577</v>
      </c>
      <c r="I60" s="429" t="s">
        <v>1578</v>
      </c>
    </row>
    <row r="61" spans="3:9" hidden="1">
      <c r="C61" s="430" t="s">
        <v>1581</v>
      </c>
      <c r="D61" s="430"/>
      <c r="E61" s="156" t="s">
        <v>240</v>
      </c>
      <c r="F61" s="431" t="s">
        <v>240</v>
      </c>
      <c r="G61" s="432"/>
      <c r="H61" s="451">
        <f>IF(OR(E61="Click to select",F61="Click to select"),0,IF(OR(E61="ANSP",E61="MET"),IF(OR(F61="Staff",F61="Other operating",F61="Exceptional items"),G61/(INDEX(Table_Inflation_IDX_ECZ[Inflation Index 2014 Actual],MATCH($O$4,Table_Inflation_IDX_ECZ[ER_CZ],0))/100),G61),G61))</f>
        <v>0</v>
      </c>
      <c r="I61" s="451">
        <f>IFERROR(H61/$E$23,0)</f>
        <v>0</v>
      </c>
    </row>
    <row r="62" spans="3:9" hidden="1">
      <c r="C62" s="922" t="s">
        <v>1579</v>
      </c>
      <c r="D62" s="923"/>
      <c r="E62" s="923"/>
      <c r="F62" s="923"/>
      <c r="G62" s="923"/>
      <c r="H62" s="923"/>
      <c r="I62" s="924"/>
    </row>
    <row r="63" spans="3:9" ht="30" hidden="1" customHeight="1">
      <c r="C63" s="925" t="s">
        <v>1580</v>
      </c>
      <c r="D63" s="926"/>
      <c r="E63" s="926"/>
      <c r="F63" s="926"/>
      <c r="G63" s="926"/>
      <c r="H63" s="926"/>
      <c r="I63" s="927"/>
    </row>
    <row r="64" spans="3:9" hidden="1"/>
    <row r="65" spans="3:9" hidden="1">
      <c r="C65" s="428" t="s">
        <v>1586</v>
      </c>
      <c r="D65" s="429" t="s">
        <v>259</v>
      </c>
      <c r="E65" s="429" t="s">
        <v>1574</v>
      </c>
      <c r="F65" s="429" t="s">
        <v>1575</v>
      </c>
      <c r="G65" s="429" t="s">
        <v>1576</v>
      </c>
      <c r="H65" s="429" t="s">
        <v>1577</v>
      </c>
      <c r="I65" s="429" t="s">
        <v>1578</v>
      </c>
    </row>
    <row r="66" spans="3:9" hidden="1">
      <c r="C66" s="430" t="s">
        <v>1581</v>
      </c>
      <c r="D66" s="430"/>
      <c r="E66" s="156" t="s">
        <v>240</v>
      </c>
      <c r="F66" s="431" t="s">
        <v>240</v>
      </c>
      <c r="G66" s="432"/>
      <c r="H66" s="451">
        <f>IF(OR(E66="Click to select",F66="Click to select"),0,IF(OR(E66="ANSP",E66="MET"),IF(OR(F66="Staff",F66="Other operating",F66="Exceptional items"),G66/(INDEX(Table_Inflation_IDX_ECZ[Inflation Index 2014 Actual],MATCH($O$4,Table_Inflation_IDX_ECZ[ER_CZ],0))/100),G66),G66))</f>
        <v>0</v>
      </c>
      <c r="I66" s="451">
        <f>IFERROR(H66/$E$23,0)</f>
        <v>0</v>
      </c>
    </row>
    <row r="67" spans="3:9" hidden="1">
      <c r="C67" s="922" t="s">
        <v>1579</v>
      </c>
      <c r="D67" s="923"/>
      <c r="E67" s="923"/>
      <c r="F67" s="923"/>
      <c r="G67" s="923"/>
      <c r="H67" s="923"/>
      <c r="I67" s="924"/>
    </row>
    <row r="68" spans="3:9" ht="30" hidden="1" customHeight="1">
      <c r="C68" s="925" t="s">
        <v>1580</v>
      </c>
      <c r="D68" s="926"/>
      <c r="E68" s="926"/>
      <c r="F68" s="926"/>
      <c r="G68" s="926"/>
      <c r="H68" s="926"/>
      <c r="I68" s="927"/>
    </row>
    <row r="69" spans="3:9" hidden="1"/>
    <row r="70" spans="3:9" hidden="1">
      <c r="C70" s="428" t="s">
        <v>1587</v>
      </c>
      <c r="D70" s="429" t="s">
        <v>259</v>
      </c>
      <c r="E70" s="429" t="s">
        <v>1574</v>
      </c>
      <c r="F70" s="429" t="s">
        <v>1575</v>
      </c>
      <c r="G70" s="429" t="s">
        <v>1576</v>
      </c>
      <c r="H70" s="429" t="s">
        <v>1577</v>
      </c>
      <c r="I70" s="429" t="s">
        <v>1578</v>
      </c>
    </row>
    <row r="71" spans="3:9" hidden="1">
      <c r="C71" s="430" t="s">
        <v>1581</v>
      </c>
      <c r="D71" s="430"/>
      <c r="E71" s="156" t="s">
        <v>240</v>
      </c>
      <c r="F71" s="431" t="s">
        <v>240</v>
      </c>
      <c r="G71" s="432"/>
      <c r="H71" s="451">
        <f>IF(OR(E71="Click to select",F71="Click to select"),0,IF(OR(E71="ANSP",E71="MET"),IF(OR(F71="Staff",F71="Other operating",F71="Exceptional items"),G71/(INDEX(Table_Inflation_IDX_ECZ[Inflation Index 2014 Actual],MATCH($O$4,Table_Inflation_IDX_ECZ[ER_CZ],0))/100),G71),G71))</f>
        <v>0</v>
      </c>
      <c r="I71" s="451">
        <f>IFERROR(H71/$E$23,0)</f>
        <v>0</v>
      </c>
    </row>
    <row r="72" spans="3:9" hidden="1">
      <c r="C72" s="922" t="s">
        <v>1579</v>
      </c>
      <c r="D72" s="923"/>
      <c r="E72" s="923"/>
      <c r="F72" s="923"/>
      <c r="G72" s="923"/>
      <c r="H72" s="923"/>
      <c r="I72" s="924"/>
    </row>
    <row r="73" spans="3:9" ht="30" hidden="1" customHeight="1">
      <c r="C73" s="925" t="s">
        <v>1580</v>
      </c>
      <c r="D73" s="926"/>
      <c r="E73" s="926"/>
      <c r="F73" s="926"/>
      <c r="G73" s="926"/>
      <c r="H73" s="926"/>
      <c r="I73" s="927"/>
    </row>
    <row r="74" spans="3:9" hidden="1"/>
    <row r="75" spans="3:9" hidden="1">
      <c r="C75" s="428" t="s">
        <v>1588</v>
      </c>
      <c r="D75" s="429" t="s">
        <v>259</v>
      </c>
      <c r="E75" s="429" t="s">
        <v>1574</v>
      </c>
      <c r="F75" s="429" t="s">
        <v>1575</v>
      </c>
      <c r="G75" s="429" t="s">
        <v>1576</v>
      </c>
      <c r="H75" s="429" t="s">
        <v>1577</v>
      </c>
      <c r="I75" s="429" t="s">
        <v>1578</v>
      </c>
    </row>
    <row r="76" spans="3:9" hidden="1">
      <c r="C76" s="430" t="s">
        <v>1581</v>
      </c>
      <c r="D76" s="430"/>
      <c r="E76" s="156" t="s">
        <v>240</v>
      </c>
      <c r="F76" s="431" t="s">
        <v>240</v>
      </c>
      <c r="G76" s="432"/>
      <c r="H76" s="451">
        <f>IF(OR(E76="Click to select",F76="Click to select"),0,IF(OR(E76="ANSP",E76="MET"),IF(OR(F76="Staff",F76="Other operating",F76="Exceptional items"),G76/(INDEX(Table_Inflation_IDX_ECZ[Inflation Index 2014 Actual],MATCH($O$4,Table_Inflation_IDX_ECZ[ER_CZ],0))/100),G76),G76))</f>
        <v>0</v>
      </c>
      <c r="I76" s="451">
        <f>IFERROR(H76/$E$23,0)</f>
        <v>0</v>
      </c>
    </row>
    <row r="77" spans="3:9" hidden="1">
      <c r="C77" s="922" t="s">
        <v>1579</v>
      </c>
      <c r="D77" s="923"/>
      <c r="E77" s="923"/>
      <c r="F77" s="923"/>
      <c r="G77" s="923"/>
      <c r="H77" s="923"/>
      <c r="I77" s="924"/>
    </row>
    <row r="78" spans="3:9" ht="30" hidden="1" customHeight="1">
      <c r="C78" s="925" t="s">
        <v>1580</v>
      </c>
      <c r="D78" s="926"/>
      <c r="E78" s="926"/>
      <c r="F78" s="926"/>
      <c r="G78" s="926"/>
      <c r="H78" s="926"/>
      <c r="I78" s="927"/>
    </row>
    <row r="79" spans="3:9" hidden="1"/>
    <row r="80" spans="3:9" hidden="1">
      <c r="C80" s="428" t="s">
        <v>1589</v>
      </c>
      <c r="D80" s="429" t="s">
        <v>259</v>
      </c>
      <c r="E80" s="429" t="s">
        <v>1574</v>
      </c>
      <c r="F80" s="429" t="s">
        <v>1575</v>
      </c>
      <c r="G80" s="429" t="s">
        <v>1576</v>
      </c>
      <c r="H80" s="429" t="s">
        <v>1577</v>
      </c>
      <c r="I80" s="429" t="s">
        <v>1578</v>
      </c>
    </row>
    <row r="81" spans="3:15" hidden="1">
      <c r="C81" s="430" t="s">
        <v>1581</v>
      </c>
      <c r="D81" s="430"/>
      <c r="E81" s="156" t="s">
        <v>240</v>
      </c>
      <c r="F81" s="431" t="s">
        <v>240</v>
      </c>
      <c r="G81" s="432"/>
      <c r="H81" s="451">
        <f>IF(OR(E81="Click to select",F81="Click to select"),0,IF(OR(E81="ANSP",E81="MET"),IF(OR(F81="Staff",F81="Other operating",F81="Exceptional items"),G81/(INDEX(Table_Inflation_IDX_ECZ[Inflation Index 2014 Actual],MATCH($O$4,Table_Inflation_IDX_ECZ[ER_CZ],0))/100),G81),G81))</f>
        <v>0</v>
      </c>
      <c r="I81" s="451">
        <f>IFERROR(H81/$E$23,0)</f>
        <v>0</v>
      </c>
    </row>
    <row r="82" spans="3:15" hidden="1">
      <c r="C82" s="922" t="s">
        <v>1579</v>
      </c>
      <c r="D82" s="923"/>
      <c r="E82" s="923"/>
      <c r="F82" s="923"/>
      <c r="G82" s="923"/>
      <c r="H82" s="923"/>
      <c r="I82" s="924"/>
    </row>
    <row r="83" spans="3:15" ht="30" hidden="1" customHeight="1">
      <c r="C83" s="925" t="s">
        <v>1580</v>
      </c>
      <c r="D83" s="926"/>
      <c r="E83" s="926"/>
      <c r="F83" s="926"/>
      <c r="G83" s="926"/>
      <c r="H83" s="926"/>
      <c r="I83" s="927"/>
    </row>
    <row r="84" spans="3:15" hidden="1"/>
    <row r="85" spans="3:15" hidden="1">
      <c r="C85" s="428" t="s">
        <v>1590</v>
      </c>
      <c r="D85" s="429" t="s">
        <v>259</v>
      </c>
      <c r="E85" s="429" t="s">
        <v>1574</v>
      </c>
      <c r="F85" s="429" t="s">
        <v>1575</v>
      </c>
      <c r="G85" s="429" t="s">
        <v>1576</v>
      </c>
      <c r="H85" s="429" t="s">
        <v>1577</v>
      </c>
      <c r="I85" s="429" t="s">
        <v>1578</v>
      </c>
    </row>
    <row r="86" spans="3:15" hidden="1">
      <c r="C86" s="430" t="s">
        <v>1581</v>
      </c>
      <c r="D86" s="430"/>
      <c r="E86" s="156" t="s">
        <v>240</v>
      </c>
      <c r="F86" s="431" t="s">
        <v>240</v>
      </c>
      <c r="G86" s="432"/>
      <c r="H86" s="451">
        <f>IF(OR(E86="Click to select",F86="Click to select"),0,IF(OR(E86="ANSP",E86="MET"),IF(OR(F86="Staff",F86="Other operating",F86="Exceptional items"),G86/(INDEX(Table_Inflation_IDX_ECZ[Inflation Index 2014 Actual],MATCH($O$4,Table_Inflation_IDX_ECZ[ER_CZ],0))/100),G86),G86))</f>
        <v>0</v>
      </c>
      <c r="I86" s="451">
        <f>IFERROR(H86/$E$23,0)</f>
        <v>0</v>
      </c>
    </row>
    <row r="87" spans="3:15" hidden="1">
      <c r="C87" s="922" t="s">
        <v>1579</v>
      </c>
      <c r="D87" s="923"/>
      <c r="E87" s="923"/>
      <c r="F87" s="923"/>
      <c r="G87" s="923"/>
      <c r="H87" s="923"/>
      <c r="I87" s="924"/>
    </row>
    <row r="88" spans="3:15" ht="30" hidden="1" customHeight="1">
      <c r="C88" s="925" t="s">
        <v>1580</v>
      </c>
      <c r="D88" s="926"/>
      <c r="E88" s="926"/>
      <c r="F88" s="926"/>
      <c r="G88" s="926"/>
      <c r="H88" s="926"/>
      <c r="I88" s="927"/>
    </row>
    <row r="89" spans="3:15" hidden="1"/>
    <row r="90" spans="3:15" hidden="1">
      <c r="C90" s="933" t="s">
        <v>1591</v>
      </c>
      <c r="D90" s="934"/>
      <c r="E90" s="934"/>
      <c r="F90" s="935"/>
      <c r="G90" s="433" t="s">
        <v>1576</v>
      </c>
      <c r="H90" s="433" t="s">
        <v>1577</v>
      </c>
      <c r="I90" s="433" t="s">
        <v>1578</v>
      </c>
      <c r="O90" s="462" t="str">
        <f>IFERROR(IF(ROUND(G91/100,0)&lt;&gt;ROUND(H30/100,0),"The total adjustment in nominal NC does not match the figure in section b)",""),"")</f>
        <v/>
      </c>
    </row>
    <row r="91" spans="3:15" hidden="1">
      <c r="C91" s="936"/>
      <c r="D91" s="937"/>
      <c r="E91" s="937"/>
      <c r="F91" s="938"/>
      <c r="G91" s="452" t="str">
        <f>IF(G86+G81+G76+G71+G66+G61+G56+G51+G46+G41=0,"-",G86+G81+G76+G71+G66+G61+G56+G51+G46+G41)</f>
        <v>-</v>
      </c>
      <c r="H91" s="452">
        <f>IFERROR(H86+H81+H76+H71+H66+H61+H56+H51+H46+H41,"-")</f>
        <v>0</v>
      </c>
      <c r="I91" s="452">
        <f>IFERROR(I86+I81+I76+I71+I66+I61+I56+I51+I46+I41,"-")</f>
        <v>0</v>
      </c>
      <c r="O91" s="462" t="str">
        <f>IFERROR(IF(ROUND(H91/100,0)&lt;&gt;ROUND(H31/100,0),"The total adjustment in real NC does not match the figure in section b)",""),"")</f>
        <v/>
      </c>
    </row>
    <row r="92" spans="3:15" hidden="1"/>
    <row r="93" spans="3:15" hidden="1"/>
    <row r="94" spans="3:15">
      <c r="C94" s="444" t="s">
        <v>1616</v>
      </c>
    </row>
    <row r="95" spans="3:15" ht="6.95" customHeight="1"/>
    <row r="96" spans="3:15">
      <c r="C96" s="939" t="s">
        <v>1595</v>
      </c>
      <c r="D96" s="941" t="s">
        <v>1596</v>
      </c>
      <c r="E96" s="942"/>
      <c r="F96" s="945" t="s">
        <v>1600</v>
      </c>
      <c r="G96" s="946"/>
      <c r="H96" s="947"/>
      <c r="I96" s="429" t="s">
        <v>1597</v>
      </c>
      <c r="O96" s="463" t="s">
        <v>1614</v>
      </c>
    </row>
    <row r="97" spans="3:15">
      <c r="C97" s="940"/>
      <c r="D97" s="943">
        <f>O97</f>
        <v>-8.5000000000000006E-3</v>
      </c>
      <c r="E97" s="944"/>
      <c r="F97" s="948" t="str">
        <f>IFERROR(IF(D97=$P$4,"CRCO correction factor May 2019 (on 12 months)","Other"),"-")</f>
        <v>CRCO correction factor May 2019 (on 12 months)</v>
      </c>
      <c r="G97" s="949"/>
      <c r="H97" s="950"/>
      <c r="I97" s="523">
        <f>1454224*D97</f>
        <v>-12360.904</v>
      </c>
      <c r="O97" s="464">
        <f>IFERROR(INDEX(Table_CRCO_Factor[May 2019 (based on 12 months)],MATCH($O$4,Table_CRCO_Factor[ECZ],0)),"-")</f>
        <v>-8.5000000000000006E-3</v>
      </c>
    </row>
    <row r="98" spans="3:15" ht="36.75" customHeight="1">
      <c r="C98" s="928" t="s">
        <v>1858</v>
      </c>
      <c r="D98" s="929"/>
      <c r="E98" s="929"/>
      <c r="F98" s="929"/>
      <c r="G98" s="929"/>
      <c r="H98" s="929"/>
      <c r="I98" s="930"/>
    </row>
    <row r="100" spans="3:15">
      <c r="C100" s="428" t="s">
        <v>1598</v>
      </c>
      <c r="D100" s="317" t="s">
        <v>1786</v>
      </c>
    </row>
    <row r="101" spans="3:15" hidden="1">
      <c r="C101" s="931" t="s">
        <v>1581</v>
      </c>
      <c r="D101" s="932"/>
      <c r="H101" s="429" t="s">
        <v>1597</v>
      </c>
      <c r="I101" s="2"/>
    </row>
    <row r="102" spans="3:15" hidden="1">
      <c r="C102" s="922" t="s">
        <v>1579</v>
      </c>
      <c r="D102" s="923"/>
      <c r="E102" s="923"/>
      <c r="F102" s="923"/>
      <c r="G102" s="923"/>
      <c r="H102" s="923"/>
      <c r="I102" s="924"/>
    </row>
    <row r="103" spans="3:15" hidden="1">
      <c r="C103" s="925" t="s">
        <v>1580</v>
      </c>
      <c r="D103" s="926"/>
      <c r="E103" s="926"/>
      <c r="F103" s="926"/>
      <c r="G103" s="926"/>
      <c r="H103" s="926"/>
      <c r="I103" s="927"/>
    </row>
    <row r="105" spans="3:15">
      <c r="C105" s="951" t="s">
        <v>1599</v>
      </c>
      <c r="D105" s="952"/>
      <c r="E105" s="952"/>
      <c r="F105" s="952"/>
      <c r="G105" s="952"/>
      <c r="H105" s="953"/>
      <c r="I105" s="442">
        <v>0</v>
      </c>
      <c r="O105" s="462" t="str">
        <f>IFERROR(IF(ROUND(I105/100,0)&lt;&gt;ROUND(H33/100,0),"The service units total adjustment does not match the figure in section b)",""),"")</f>
        <v>The service units total adjustment does not match the figure in section b)</v>
      </c>
    </row>
    <row r="106" spans="3:15" hidden="1"/>
    <row r="108" spans="3:15">
      <c r="C108" s="444" t="s">
        <v>1617</v>
      </c>
      <c r="F108" s="920" t="s">
        <v>1572</v>
      </c>
      <c r="G108" s="920"/>
      <c r="H108" s="954">
        <v>3</v>
      </c>
      <c r="I108" s="954"/>
    </row>
    <row r="110" spans="3:15">
      <c r="C110" s="428" t="s">
        <v>1573</v>
      </c>
      <c r="D110" s="429" t="s">
        <v>259</v>
      </c>
      <c r="E110" s="429" t="s">
        <v>1574</v>
      </c>
      <c r="F110" s="429" t="s">
        <v>1575</v>
      </c>
      <c r="G110" s="429" t="s">
        <v>1576</v>
      </c>
      <c r="H110" s="429" t="s">
        <v>1577</v>
      </c>
      <c r="I110" s="429" t="s">
        <v>1578</v>
      </c>
    </row>
    <row r="111" spans="3:15">
      <c r="C111" s="430" t="s">
        <v>1870</v>
      </c>
      <c r="D111" s="430" t="s">
        <v>1824</v>
      </c>
      <c r="E111" s="497" t="s">
        <v>1711</v>
      </c>
      <c r="F111" s="510" t="s">
        <v>1164</v>
      </c>
      <c r="G111" s="432">
        <v>165775</v>
      </c>
      <c r="H111" s="434">
        <f>IF(OR(E111="Click to select",F111="Click to select"),"-",IF(OR(E111="ANSP",E111="MET"),IF(OR(F111="Staff",F111="Other operating",F111="Exceptional items"),G111/(INDEX(Table_Inflation_IDX_ECZ[Inflation Index 2019 Actual],MATCH($O$4,Table_Inflation_IDX_ECZ[ER_CZ],0))/100),G111),G111))</f>
        <v>165775</v>
      </c>
      <c r="I111" s="434">
        <f>IFERROR(H111/$E$23,"-")</f>
        <v>165775</v>
      </c>
    </row>
    <row r="112" spans="3:15">
      <c r="C112" s="922" t="s">
        <v>1579</v>
      </c>
      <c r="D112" s="923"/>
      <c r="E112" s="923"/>
      <c r="F112" s="923"/>
      <c r="G112" s="923"/>
      <c r="H112" s="923"/>
      <c r="I112" s="924"/>
    </row>
    <row r="113" spans="3:12" ht="23.45" customHeight="1">
      <c r="C113" s="955" t="s">
        <v>1871</v>
      </c>
      <c r="D113" s="956"/>
      <c r="E113" s="956"/>
      <c r="F113" s="956"/>
      <c r="G113" s="956"/>
      <c r="H113" s="956"/>
      <c r="I113" s="957"/>
    </row>
    <row r="115" spans="3:12">
      <c r="C115" s="428" t="s">
        <v>1582</v>
      </c>
      <c r="D115" s="429" t="s">
        <v>259</v>
      </c>
      <c r="E115" s="429" t="s">
        <v>1574</v>
      </c>
      <c r="F115" s="429" t="s">
        <v>1575</v>
      </c>
      <c r="G115" s="429" t="s">
        <v>1576</v>
      </c>
      <c r="H115" s="429" t="s">
        <v>1577</v>
      </c>
      <c r="I115" s="429" t="s">
        <v>1578</v>
      </c>
    </row>
    <row r="116" spans="3:12">
      <c r="C116" s="430" t="s">
        <v>1870</v>
      </c>
      <c r="D116" s="430" t="s">
        <v>1771</v>
      </c>
      <c r="E116" s="497" t="s">
        <v>1771</v>
      </c>
      <c r="F116" s="510" t="s">
        <v>1164</v>
      </c>
      <c r="G116" s="432">
        <v>2966</v>
      </c>
      <c r="H116" s="434">
        <f>IF(OR(E116="Click to select",F116="Click to select"),"-",IF(OR(E116="ANSP",E116="MET"),IF(OR(F116="Staff",F116="Other operating",F116="Exceptional items"),G116/(INDEX(Table_Inflation_IDX_ECZ[Inflation Index 2019 Actual],MATCH($O$4,Table_Inflation_IDX_ECZ[ER_CZ],0))/100),G116),G116))</f>
        <v>2966</v>
      </c>
      <c r="I116" s="434">
        <f>IFERROR(H116/$E$23,"-")</f>
        <v>2966</v>
      </c>
      <c r="L116" s="509"/>
    </row>
    <row r="117" spans="3:12">
      <c r="C117" s="922" t="s">
        <v>1579</v>
      </c>
      <c r="D117" s="923"/>
      <c r="E117" s="923"/>
      <c r="F117" s="923"/>
      <c r="G117" s="923"/>
      <c r="H117" s="923"/>
      <c r="I117" s="924"/>
    </row>
    <row r="118" spans="3:12" ht="27" customHeight="1">
      <c r="C118" s="955" t="s">
        <v>1872</v>
      </c>
      <c r="D118" s="956"/>
      <c r="E118" s="956"/>
      <c r="F118" s="956"/>
      <c r="G118" s="956"/>
      <c r="H118" s="956"/>
      <c r="I118" s="957"/>
    </row>
    <row r="120" spans="3:12">
      <c r="C120" s="428" t="s">
        <v>1583</v>
      </c>
      <c r="D120" s="429" t="s">
        <v>259</v>
      </c>
      <c r="E120" s="429" t="s">
        <v>1574</v>
      </c>
      <c r="F120" s="429" t="s">
        <v>1575</v>
      </c>
      <c r="G120" s="429" t="s">
        <v>1576</v>
      </c>
      <c r="H120" s="429" t="s">
        <v>1577</v>
      </c>
      <c r="I120" s="429" t="s">
        <v>1578</v>
      </c>
    </row>
    <row r="121" spans="3:12">
      <c r="C121" s="430" t="s">
        <v>1870</v>
      </c>
      <c r="D121" s="430" t="s">
        <v>1825</v>
      </c>
      <c r="E121" s="497" t="s">
        <v>1823</v>
      </c>
      <c r="F121" s="510" t="s">
        <v>1164</v>
      </c>
      <c r="G121" s="432">
        <v>40037</v>
      </c>
      <c r="H121" s="434">
        <f>IF(OR(E121="Click to select",F121="Click to select"),"-",IF(OR(E121="ANSP",E121="MET"),IF(OR(F121="Staff",F121="Other operating",F121="Exceptional items"),G121/(INDEX(Table_Inflation_IDX_ECZ[Inflation Index 2019 Actual],MATCH($O$4,Table_Inflation_IDX_ECZ[ER_CZ],0))/100),G121),G121))</f>
        <v>40037</v>
      </c>
      <c r="I121" s="434">
        <f>IFERROR(H121/$E$23,"-")</f>
        <v>40037</v>
      </c>
    </row>
    <row r="122" spans="3:12">
      <c r="C122" s="922" t="s">
        <v>1579</v>
      </c>
      <c r="D122" s="923"/>
      <c r="E122" s="923"/>
      <c r="F122" s="923"/>
      <c r="G122" s="923"/>
      <c r="H122" s="923"/>
      <c r="I122" s="924"/>
    </row>
    <row r="123" spans="3:12" ht="24.6" customHeight="1">
      <c r="C123" s="955" t="s">
        <v>1871</v>
      </c>
      <c r="D123" s="956"/>
      <c r="E123" s="956"/>
      <c r="F123" s="956"/>
      <c r="G123" s="956"/>
      <c r="H123" s="956"/>
      <c r="I123" s="957"/>
    </row>
    <row r="125" spans="3:12" hidden="1">
      <c r="C125" s="428" t="s">
        <v>1584</v>
      </c>
      <c r="D125" s="429" t="s">
        <v>259</v>
      </c>
      <c r="E125" s="429" t="s">
        <v>1574</v>
      </c>
      <c r="F125" s="429" t="s">
        <v>1575</v>
      </c>
      <c r="G125" s="429" t="s">
        <v>1576</v>
      </c>
      <c r="H125" s="429" t="s">
        <v>1577</v>
      </c>
      <c r="I125" s="429" t="s">
        <v>1578</v>
      </c>
    </row>
    <row r="126" spans="3:12" hidden="1">
      <c r="C126" s="430" t="s">
        <v>1581</v>
      </c>
      <c r="D126" s="430"/>
      <c r="E126" s="156" t="s">
        <v>240</v>
      </c>
      <c r="F126" s="431" t="s">
        <v>240</v>
      </c>
      <c r="G126" s="432"/>
      <c r="H126" s="434" t="str">
        <f>IF(OR(E126="Click to select",F126="Click to select"),"-",IF(OR(E126="ANSP",E126="MET"),IF(OR(F126="Staff",F126="Other operating",F126="Exceptional items"),G126/(INDEX(Table_Inflation_IDX_ECZ[Inflation Index 2019 Actual],MATCH($O$4,Table_Inflation_IDX_ECZ[ER_CZ],0))/100),G126),G126))</f>
        <v>-</v>
      </c>
      <c r="I126" s="434" t="str">
        <f>IFERROR(H126/$E$23,"-")</f>
        <v>-</v>
      </c>
    </row>
    <row r="127" spans="3:12" hidden="1">
      <c r="C127" s="922" t="s">
        <v>1579</v>
      </c>
      <c r="D127" s="923"/>
      <c r="E127" s="923"/>
      <c r="F127" s="923"/>
      <c r="G127" s="923"/>
      <c r="H127" s="923"/>
      <c r="I127" s="924"/>
    </row>
    <row r="128" spans="3:12" ht="30" hidden="1" customHeight="1">
      <c r="C128" s="925" t="s">
        <v>1580</v>
      </c>
      <c r="D128" s="926"/>
      <c r="E128" s="926"/>
      <c r="F128" s="926"/>
      <c r="G128" s="926"/>
      <c r="H128" s="926"/>
      <c r="I128" s="927"/>
    </row>
    <row r="129" spans="3:9" hidden="1"/>
    <row r="130" spans="3:9" hidden="1">
      <c r="C130" s="428" t="s">
        <v>1585</v>
      </c>
      <c r="D130" s="429" t="s">
        <v>259</v>
      </c>
      <c r="E130" s="429" t="s">
        <v>1574</v>
      </c>
      <c r="F130" s="429" t="s">
        <v>1575</v>
      </c>
      <c r="G130" s="429" t="s">
        <v>1576</v>
      </c>
      <c r="H130" s="429" t="s">
        <v>1577</v>
      </c>
      <c r="I130" s="429" t="s">
        <v>1578</v>
      </c>
    </row>
    <row r="131" spans="3:9" hidden="1">
      <c r="C131" s="430" t="s">
        <v>1581</v>
      </c>
      <c r="D131" s="430"/>
      <c r="E131" s="156" t="s">
        <v>240</v>
      </c>
      <c r="F131" s="431" t="s">
        <v>240</v>
      </c>
      <c r="G131" s="432"/>
      <c r="H131" s="434" t="str">
        <f>IF(OR(E131="Click to select",F131="Click to select"),"-",IF(OR(E131="ANSP",E131="MET"),IF(OR(F131="Staff",F131="Other operating",F131="Exceptional items"),G131/(INDEX(Table_Inflation_IDX_ECZ[Inflation Index 2019 Actual],MATCH($O$4,Table_Inflation_IDX_ECZ[ER_CZ],0))/100),G131),G131))</f>
        <v>-</v>
      </c>
      <c r="I131" s="434" t="str">
        <f>IFERROR(H131/$E$23,"-")</f>
        <v>-</v>
      </c>
    </row>
    <row r="132" spans="3:9" hidden="1">
      <c r="C132" s="922" t="s">
        <v>1579</v>
      </c>
      <c r="D132" s="923"/>
      <c r="E132" s="923"/>
      <c r="F132" s="923"/>
      <c r="G132" s="923"/>
      <c r="H132" s="923"/>
      <c r="I132" s="924"/>
    </row>
    <row r="133" spans="3:9" ht="30" hidden="1" customHeight="1">
      <c r="C133" s="925" t="s">
        <v>1580</v>
      </c>
      <c r="D133" s="926"/>
      <c r="E133" s="926"/>
      <c r="F133" s="926"/>
      <c r="G133" s="926"/>
      <c r="H133" s="926"/>
      <c r="I133" s="927"/>
    </row>
    <row r="134" spans="3:9" hidden="1"/>
    <row r="135" spans="3:9" hidden="1">
      <c r="C135" s="428" t="s">
        <v>1586</v>
      </c>
      <c r="D135" s="429" t="s">
        <v>259</v>
      </c>
      <c r="E135" s="429" t="s">
        <v>1574</v>
      </c>
      <c r="F135" s="429" t="s">
        <v>1575</v>
      </c>
      <c r="G135" s="429" t="s">
        <v>1576</v>
      </c>
      <c r="H135" s="429" t="s">
        <v>1577</v>
      </c>
      <c r="I135" s="429" t="s">
        <v>1578</v>
      </c>
    </row>
    <row r="136" spans="3:9" hidden="1">
      <c r="C136" s="430" t="s">
        <v>1581</v>
      </c>
      <c r="D136" s="430"/>
      <c r="E136" s="156" t="s">
        <v>240</v>
      </c>
      <c r="F136" s="431" t="s">
        <v>240</v>
      </c>
      <c r="G136" s="432"/>
      <c r="H136" s="434" t="str">
        <f>IF(OR(E136="Click to select",F136="Click to select"),"-",IF(OR(E136="ANSP",E136="MET"),IF(OR(F136="Staff",F136="Other operating",F136="Exceptional items"),G136/(INDEX(Table_Inflation_IDX_ECZ[Inflation Index 2019 Actual],MATCH($O$4,Table_Inflation_IDX_ECZ[ER_CZ],0))/100),G136),G136))</f>
        <v>-</v>
      </c>
      <c r="I136" s="434" t="str">
        <f>IFERROR(H136/$E$23,"-")</f>
        <v>-</v>
      </c>
    </row>
    <row r="137" spans="3:9" hidden="1">
      <c r="C137" s="922" t="s">
        <v>1579</v>
      </c>
      <c r="D137" s="923"/>
      <c r="E137" s="923"/>
      <c r="F137" s="923"/>
      <c r="G137" s="923"/>
      <c r="H137" s="923"/>
      <c r="I137" s="924"/>
    </row>
    <row r="138" spans="3:9" ht="30" hidden="1" customHeight="1">
      <c r="C138" s="925" t="s">
        <v>1580</v>
      </c>
      <c r="D138" s="926"/>
      <c r="E138" s="926"/>
      <c r="F138" s="926"/>
      <c r="G138" s="926"/>
      <c r="H138" s="926"/>
      <c r="I138" s="927"/>
    </row>
    <row r="139" spans="3:9" hidden="1"/>
    <row r="140" spans="3:9" hidden="1">
      <c r="C140" s="428" t="s">
        <v>1587</v>
      </c>
      <c r="D140" s="429" t="s">
        <v>259</v>
      </c>
      <c r="E140" s="429" t="s">
        <v>1574</v>
      </c>
      <c r="F140" s="429" t="s">
        <v>1575</v>
      </c>
      <c r="G140" s="429" t="s">
        <v>1576</v>
      </c>
      <c r="H140" s="429" t="s">
        <v>1577</v>
      </c>
      <c r="I140" s="429" t="s">
        <v>1578</v>
      </c>
    </row>
    <row r="141" spans="3:9" hidden="1">
      <c r="C141" s="430" t="s">
        <v>1581</v>
      </c>
      <c r="D141" s="430"/>
      <c r="E141" s="156" t="s">
        <v>240</v>
      </c>
      <c r="F141" s="431" t="s">
        <v>240</v>
      </c>
      <c r="G141" s="432"/>
      <c r="H141" s="434" t="str">
        <f>IF(OR(E141="Click to select",F141="Click to select"),"-",IF(OR(E141="ANSP",E141="MET"),IF(OR(F141="Staff",F141="Other operating",F141="Exceptional items"),G141/(INDEX(Table_Inflation_IDX_ECZ[Inflation Index 2019 Actual],MATCH($O$4,Table_Inflation_IDX_ECZ[ER_CZ],0))/100),G141),G141))</f>
        <v>-</v>
      </c>
      <c r="I141" s="434" t="str">
        <f>IFERROR(H141/$E$23,"-")</f>
        <v>-</v>
      </c>
    </row>
    <row r="142" spans="3:9" hidden="1">
      <c r="C142" s="922" t="s">
        <v>1579</v>
      </c>
      <c r="D142" s="923"/>
      <c r="E142" s="923"/>
      <c r="F142" s="923"/>
      <c r="G142" s="923"/>
      <c r="H142" s="923"/>
      <c r="I142" s="924"/>
    </row>
    <row r="143" spans="3:9" ht="30" hidden="1" customHeight="1">
      <c r="C143" s="925" t="s">
        <v>1580</v>
      </c>
      <c r="D143" s="926"/>
      <c r="E143" s="926"/>
      <c r="F143" s="926"/>
      <c r="G143" s="926"/>
      <c r="H143" s="926"/>
      <c r="I143" s="927"/>
    </row>
    <row r="144" spans="3:9" hidden="1"/>
    <row r="145" spans="3:15" hidden="1">
      <c r="C145" s="428" t="s">
        <v>1588</v>
      </c>
      <c r="D145" s="429" t="s">
        <v>259</v>
      </c>
      <c r="E145" s="429" t="s">
        <v>1574</v>
      </c>
      <c r="F145" s="429" t="s">
        <v>1575</v>
      </c>
      <c r="G145" s="429" t="s">
        <v>1576</v>
      </c>
      <c r="H145" s="429" t="s">
        <v>1577</v>
      </c>
      <c r="I145" s="429" t="s">
        <v>1578</v>
      </c>
    </row>
    <row r="146" spans="3:15" hidden="1">
      <c r="C146" s="430" t="s">
        <v>1581</v>
      </c>
      <c r="D146" s="430"/>
      <c r="E146" s="156" t="s">
        <v>240</v>
      </c>
      <c r="F146" s="431" t="s">
        <v>240</v>
      </c>
      <c r="G146" s="432"/>
      <c r="H146" s="434" t="str">
        <f>IF(OR(E146="Click to select",F146="Click to select"),"-",IF(OR(E146="ANSP",E146="MET"),IF(OR(F146="Staff",F146="Other operating",F146="Exceptional items"),G146/(INDEX(Table_Inflation_IDX_ECZ[Inflation Index 2019 Actual],MATCH($O$4,Table_Inflation_IDX_ECZ[ER_CZ],0))/100),G146),G146))</f>
        <v>-</v>
      </c>
      <c r="I146" s="434" t="str">
        <f>IFERROR(H146/$E$23,"-")</f>
        <v>-</v>
      </c>
    </row>
    <row r="147" spans="3:15" hidden="1">
      <c r="C147" s="922" t="s">
        <v>1579</v>
      </c>
      <c r="D147" s="923"/>
      <c r="E147" s="923"/>
      <c r="F147" s="923"/>
      <c r="G147" s="923"/>
      <c r="H147" s="923"/>
      <c r="I147" s="924"/>
    </row>
    <row r="148" spans="3:15" ht="30" hidden="1" customHeight="1">
      <c r="C148" s="925" t="s">
        <v>1580</v>
      </c>
      <c r="D148" s="926"/>
      <c r="E148" s="926"/>
      <c r="F148" s="926"/>
      <c r="G148" s="926"/>
      <c r="H148" s="926"/>
      <c r="I148" s="927"/>
    </row>
    <row r="149" spans="3:15" hidden="1"/>
    <row r="150" spans="3:15" hidden="1">
      <c r="C150" s="428" t="s">
        <v>1589</v>
      </c>
      <c r="D150" s="429" t="s">
        <v>259</v>
      </c>
      <c r="E150" s="429" t="s">
        <v>1574</v>
      </c>
      <c r="F150" s="429" t="s">
        <v>1575</v>
      </c>
      <c r="G150" s="429" t="s">
        <v>1576</v>
      </c>
      <c r="H150" s="429" t="s">
        <v>1577</v>
      </c>
      <c r="I150" s="429" t="s">
        <v>1578</v>
      </c>
    </row>
    <row r="151" spans="3:15" hidden="1">
      <c r="C151" s="430" t="s">
        <v>1581</v>
      </c>
      <c r="D151" s="430"/>
      <c r="E151" s="156" t="s">
        <v>240</v>
      </c>
      <c r="F151" s="431" t="s">
        <v>240</v>
      </c>
      <c r="G151" s="432"/>
      <c r="H151" s="434" t="str">
        <f>IF(OR(E151="Click to select",F151="Click to select"),"-",IF(OR(E151="ANSP",E151="MET"),IF(OR(F151="Staff",F151="Other operating",F151="Exceptional items"),G151/(INDEX(Table_Inflation_IDX_ECZ[Inflation Index 2019 Actual],MATCH($O$4,Table_Inflation_IDX_ECZ[ER_CZ],0))/100),G151),G151))</f>
        <v>-</v>
      </c>
      <c r="I151" s="434" t="str">
        <f>IFERROR(H151/$E$23,"-")</f>
        <v>-</v>
      </c>
    </row>
    <row r="152" spans="3:15" hidden="1">
      <c r="C152" s="922" t="s">
        <v>1579</v>
      </c>
      <c r="D152" s="923"/>
      <c r="E152" s="923"/>
      <c r="F152" s="923"/>
      <c r="G152" s="923"/>
      <c r="H152" s="923"/>
      <c r="I152" s="924"/>
    </row>
    <row r="153" spans="3:15" ht="30" hidden="1" customHeight="1">
      <c r="C153" s="925" t="s">
        <v>1580</v>
      </c>
      <c r="D153" s="926"/>
      <c r="E153" s="926"/>
      <c r="F153" s="926"/>
      <c r="G153" s="926"/>
      <c r="H153" s="926"/>
      <c r="I153" s="927"/>
    </row>
    <row r="154" spans="3:15" hidden="1"/>
    <row r="155" spans="3:15" hidden="1">
      <c r="C155" s="428" t="s">
        <v>1590</v>
      </c>
      <c r="D155" s="429" t="s">
        <v>259</v>
      </c>
      <c r="E155" s="429" t="s">
        <v>1574</v>
      </c>
      <c r="F155" s="429" t="s">
        <v>1575</v>
      </c>
      <c r="G155" s="429" t="s">
        <v>1576</v>
      </c>
      <c r="H155" s="429" t="s">
        <v>1577</v>
      </c>
      <c r="I155" s="429" t="s">
        <v>1578</v>
      </c>
    </row>
    <row r="156" spans="3:15" hidden="1">
      <c r="C156" s="430" t="s">
        <v>1581</v>
      </c>
      <c r="D156" s="430"/>
      <c r="E156" s="156" t="s">
        <v>240</v>
      </c>
      <c r="F156" s="431" t="s">
        <v>240</v>
      </c>
      <c r="G156" s="432"/>
      <c r="H156" s="434" t="str">
        <f>IF(OR(E156="Click to select",F156="Click to select"),"-",IF(OR(E156="ANSP",E156="MET"),IF(OR(F156="Staff",F156="Other operating",F156="Exceptional items"),G156/(INDEX(Table_Inflation_IDX_ECZ[Inflation Index 2019 Actual],MATCH($O$4,Table_Inflation_IDX_ECZ[ER_CZ],0))/100),G156),G156))</f>
        <v>-</v>
      </c>
      <c r="I156" s="434" t="str">
        <f>IFERROR(H156/$E$23,"-")</f>
        <v>-</v>
      </c>
    </row>
    <row r="157" spans="3:15" hidden="1">
      <c r="C157" s="922" t="s">
        <v>1579</v>
      </c>
      <c r="D157" s="923"/>
      <c r="E157" s="923"/>
      <c r="F157" s="923"/>
      <c r="G157" s="923"/>
      <c r="H157" s="923"/>
      <c r="I157" s="924"/>
    </row>
    <row r="158" spans="3:15" ht="30" hidden="1" customHeight="1">
      <c r="C158" s="925" t="s">
        <v>1580</v>
      </c>
      <c r="D158" s="926"/>
      <c r="E158" s="926"/>
      <c r="F158" s="926"/>
      <c r="G158" s="926"/>
      <c r="H158" s="926"/>
      <c r="I158" s="927"/>
    </row>
    <row r="159" spans="3:15" hidden="1"/>
    <row r="160" spans="3:15">
      <c r="C160" s="933" t="s">
        <v>1618</v>
      </c>
      <c r="D160" s="934"/>
      <c r="E160" s="934"/>
      <c r="F160" s="935"/>
      <c r="G160" s="433" t="s">
        <v>1576</v>
      </c>
      <c r="H160" s="433" t="s">
        <v>1577</v>
      </c>
      <c r="I160" s="433" t="s">
        <v>1578</v>
      </c>
      <c r="O160" s="462" t="str">
        <f>IFERROR(IF(ROUND(G161/100,0)&lt;&gt;ROUND(I30/100,0),"The total adjustment in nominal NC does not match the figure in section b)",""),"")</f>
        <v/>
      </c>
    </row>
    <row r="161" spans="3:15">
      <c r="C161" s="936"/>
      <c r="D161" s="937"/>
      <c r="E161" s="937"/>
      <c r="F161" s="938"/>
      <c r="G161" s="435">
        <f>IF(G156+G151+G146+G141+G136+G131+G126+G121+G116+G111=0,"-",G156+G151+G146+G141+G136+G131+G126+G121+G116+G111)</f>
        <v>208778</v>
      </c>
      <c r="H161" s="435" t="str">
        <f>IFERROR(H156+H151+H146+H141+H136+H131+H126+H121+H116+H111,"-")</f>
        <v>-</v>
      </c>
      <c r="I161" s="435" t="str">
        <f>IFERROR(I156+I151+I146+I141+I136+I131+I126+I121+I116+I111,"-")</f>
        <v>-</v>
      </c>
      <c r="O161" s="462" t="str">
        <f>IFERROR(IF(ROUND(H161/100,0)&lt;&gt;ROUND(I31/100,0),"The total adjustment in real NC does not match the figure in section b)",""),"")</f>
        <v/>
      </c>
    </row>
    <row r="164" spans="3:15">
      <c r="C164" s="444" t="s">
        <v>1620</v>
      </c>
    </row>
    <row r="165" spans="3:15" ht="6.95" customHeight="1"/>
    <row r="166" spans="3:15">
      <c r="C166" s="939" t="s">
        <v>1595</v>
      </c>
      <c r="D166" s="941" t="s">
        <v>1596</v>
      </c>
      <c r="E166" s="942"/>
      <c r="F166" s="945" t="s">
        <v>1600</v>
      </c>
      <c r="G166" s="946"/>
      <c r="H166" s="947"/>
      <c r="I166" s="429" t="s">
        <v>1597</v>
      </c>
      <c r="O166" s="463" t="s">
        <v>1614</v>
      </c>
    </row>
    <row r="167" spans="3:15">
      <c r="C167" s="940"/>
      <c r="D167" s="958">
        <f>O167</f>
        <v>-8.5000000000000006E-3</v>
      </c>
      <c r="E167" s="959"/>
      <c r="F167" s="960" t="str">
        <f>IFERROR(IF(D167=$P$4,"CRCO correction factor May 2019 (on 12 months)","Other"),"-")</f>
        <v>CRCO correction factor May 2019 (on 12 months)</v>
      </c>
      <c r="G167" s="961"/>
      <c r="H167" s="962"/>
      <c r="I167" s="2">
        <f>2068169.8733*D167</f>
        <v>-17579.443923050003</v>
      </c>
      <c r="O167" s="464">
        <f>IFERROR(INDEX(Table_CRCO_Factor[May 2019 (based on 12 months)],MATCH($O$4,Table_CRCO_Factor[ECZ],0)),"-")</f>
        <v>-8.5000000000000006E-3</v>
      </c>
    </row>
    <row r="168" spans="3:15" ht="24" customHeight="1">
      <c r="C168" s="925" t="s">
        <v>1859</v>
      </c>
      <c r="D168" s="926"/>
      <c r="E168" s="926"/>
      <c r="F168" s="926"/>
      <c r="G168" s="926"/>
      <c r="H168" s="926"/>
      <c r="I168" s="927"/>
    </row>
    <row r="170" spans="3:15">
      <c r="C170" s="428" t="s">
        <v>1619</v>
      </c>
      <c r="D170" s="317" t="s">
        <v>1786</v>
      </c>
    </row>
    <row r="171" spans="3:15" hidden="1">
      <c r="C171" s="931" t="s">
        <v>1581</v>
      </c>
      <c r="D171" s="932"/>
      <c r="H171" s="429" t="s">
        <v>1597</v>
      </c>
      <c r="I171" s="2"/>
    </row>
    <row r="172" spans="3:15" hidden="1">
      <c r="C172" s="922" t="s">
        <v>1579</v>
      </c>
      <c r="D172" s="923"/>
      <c r="E172" s="923"/>
      <c r="F172" s="923"/>
      <c r="G172" s="923"/>
      <c r="H172" s="923"/>
      <c r="I172" s="924"/>
    </row>
    <row r="173" spans="3:15" hidden="1">
      <c r="C173" s="925" t="s">
        <v>1580</v>
      </c>
      <c r="D173" s="926"/>
      <c r="E173" s="926"/>
      <c r="F173" s="926"/>
      <c r="G173" s="926"/>
      <c r="H173" s="926"/>
      <c r="I173" s="927"/>
    </row>
    <row r="175" spans="3:15">
      <c r="C175" s="951" t="s">
        <v>1621</v>
      </c>
      <c r="D175" s="952"/>
      <c r="E175" s="952"/>
      <c r="F175" s="952"/>
      <c r="G175" s="952"/>
      <c r="H175" s="953"/>
      <c r="I175" s="442">
        <f>I171+I167</f>
        <v>-17579.443923050003</v>
      </c>
      <c r="O175" s="462" t="str">
        <f>IFERROR(IF(ROUND(I175/100,0)&lt;&gt;ROUND(I33/100,0),"The service units total adjustment does not match the figure in section b)",""),"")</f>
        <v/>
      </c>
    </row>
    <row r="176" spans="3:15" ht="9" customHeight="1"/>
    <row r="177" spans="3:11" ht="9" customHeight="1"/>
    <row r="178" spans="3:11">
      <c r="C178" s="76" t="s">
        <v>1726</v>
      </c>
    </row>
    <row r="179" spans="3:11" ht="7.5" customHeight="1"/>
    <row r="180" spans="3:11" ht="169.9" customHeight="1">
      <c r="C180" s="976" t="s">
        <v>1929</v>
      </c>
      <c r="D180" s="977"/>
      <c r="E180" s="977"/>
      <c r="F180" s="977"/>
      <c r="G180" s="977"/>
      <c r="H180" s="977"/>
      <c r="I180" s="978"/>
      <c r="K180" s="612"/>
    </row>
    <row r="181" spans="3:11">
      <c r="C181" s="300" t="s">
        <v>1424</v>
      </c>
      <c r="D181" s="152"/>
      <c r="E181" s="152"/>
      <c r="F181" s="152"/>
      <c r="G181" s="152"/>
      <c r="H181" s="152"/>
      <c r="I181" s="152"/>
    </row>
    <row r="183" spans="3:11">
      <c r="C183" s="76" t="s">
        <v>1727</v>
      </c>
    </row>
    <row r="184" spans="3:11">
      <c r="C184" s="76"/>
    </row>
    <row r="185" spans="3:11" ht="18" customHeight="1">
      <c r="C185" s="951" t="s">
        <v>1622</v>
      </c>
      <c r="D185" s="953"/>
      <c r="E185" s="317" t="s">
        <v>339</v>
      </c>
      <c r="F185" s="970" t="str">
        <f>IF(E185="yes","Detailed in part 3.4.6 of the performance plan","")</f>
        <v>Detailed in part 3.4.6 of the performance plan</v>
      </c>
      <c r="G185" s="971"/>
      <c r="H185" s="971"/>
      <c r="I185" s="972"/>
    </row>
    <row r="186" spans="3:11" ht="18" customHeight="1">
      <c r="C186" s="951" t="s">
        <v>1623</v>
      </c>
      <c r="D186" s="953"/>
      <c r="E186" s="611" t="s">
        <v>339</v>
      </c>
      <c r="F186" s="973" t="str">
        <f>IF(E186="yes","Detailed in part 3.4.5 of the performance plan","")</f>
        <v>Detailed in part 3.4.5 of the performance plan</v>
      </c>
      <c r="G186" s="974"/>
      <c r="H186" s="974"/>
      <c r="I186" s="975"/>
    </row>
    <row r="188" spans="3:11">
      <c r="C188" s="76"/>
    </row>
    <row r="189" spans="3:11">
      <c r="C189" s="76" t="s">
        <v>1728</v>
      </c>
    </row>
    <row r="190" spans="3:11" ht="7.5" customHeight="1"/>
    <row r="191" spans="3:11" ht="87.6" customHeight="1">
      <c r="C191" s="963" t="s">
        <v>1899</v>
      </c>
      <c r="D191" s="964"/>
      <c r="E191" s="964"/>
      <c r="F191" s="964"/>
      <c r="G191" s="964"/>
      <c r="H191" s="964"/>
      <c r="I191" s="965"/>
    </row>
    <row r="192" spans="3:11">
      <c r="C192" s="300" t="s">
        <v>1424</v>
      </c>
      <c r="D192" s="152"/>
      <c r="E192" s="152"/>
      <c r="F192" s="152"/>
      <c r="G192" s="152"/>
      <c r="H192" s="152"/>
      <c r="I192" s="152"/>
    </row>
    <row r="194" spans="3:12" ht="30" customHeight="1">
      <c r="C194" s="969" t="s">
        <v>1729</v>
      </c>
      <c r="D194" s="969"/>
      <c r="E194" s="969"/>
      <c r="F194" s="969"/>
      <c r="G194" s="969"/>
      <c r="H194" s="969"/>
      <c r="I194" s="969"/>
      <c r="J194" s="461"/>
      <c r="K194" s="461"/>
      <c r="L194" s="461"/>
    </row>
    <row r="195" spans="3:12" ht="7.5" customHeight="1"/>
    <row r="196" spans="3:12" ht="69.599999999999994" customHeight="1">
      <c r="C196" s="966" t="s">
        <v>1900</v>
      </c>
      <c r="D196" s="967"/>
      <c r="E196" s="967"/>
      <c r="F196" s="967"/>
      <c r="G196" s="967"/>
      <c r="H196" s="967"/>
      <c r="I196" s="968"/>
    </row>
    <row r="197" spans="3:12">
      <c r="C197" s="300" t="s">
        <v>1626</v>
      </c>
      <c r="D197" s="152"/>
      <c r="E197" s="152"/>
      <c r="F197" s="152"/>
      <c r="G197" s="152"/>
      <c r="H197" s="152"/>
      <c r="I197" s="152"/>
    </row>
  </sheetData>
  <mergeCells count="75">
    <mergeCell ref="C191:I191"/>
    <mergeCell ref="C196:I196"/>
    <mergeCell ref="C194:I194"/>
    <mergeCell ref="C175:H175"/>
    <mergeCell ref="C185:D185"/>
    <mergeCell ref="C186:D186"/>
    <mergeCell ref="F185:I185"/>
    <mergeCell ref="F186:I186"/>
    <mergeCell ref="C180:I180"/>
    <mergeCell ref="C173:I173"/>
    <mergeCell ref="C153:I153"/>
    <mergeCell ref="C157:I157"/>
    <mergeCell ref="C158:I158"/>
    <mergeCell ref="C160:F161"/>
    <mergeCell ref="C172:I172"/>
    <mergeCell ref="C166:C167"/>
    <mergeCell ref="D166:E166"/>
    <mergeCell ref="F166:H166"/>
    <mergeCell ref="D167:E167"/>
    <mergeCell ref="F167:H167"/>
    <mergeCell ref="C168:I168"/>
    <mergeCell ref="C171:D171"/>
    <mergeCell ref="C142:I142"/>
    <mergeCell ref="C143:I143"/>
    <mergeCell ref="C147:I147"/>
    <mergeCell ref="C148:I148"/>
    <mergeCell ref="C152:I152"/>
    <mergeCell ref="C128:I128"/>
    <mergeCell ref="C132:I132"/>
    <mergeCell ref="C133:I133"/>
    <mergeCell ref="C137:I137"/>
    <mergeCell ref="C138:I138"/>
    <mergeCell ref="C117:I117"/>
    <mergeCell ref="C118:I118"/>
    <mergeCell ref="C122:I122"/>
    <mergeCell ref="C123:I123"/>
    <mergeCell ref="C127:I127"/>
    <mergeCell ref="C105:H105"/>
    <mergeCell ref="F108:G108"/>
    <mergeCell ref="H108:I108"/>
    <mergeCell ref="C112:I112"/>
    <mergeCell ref="C113:I113"/>
    <mergeCell ref="C78:I78"/>
    <mergeCell ref="C82:I82"/>
    <mergeCell ref="C98:I98"/>
    <mergeCell ref="C102:I102"/>
    <mergeCell ref="C103:I103"/>
    <mergeCell ref="C101:D101"/>
    <mergeCell ref="C83:I83"/>
    <mergeCell ref="C87:I87"/>
    <mergeCell ref="C88:I88"/>
    <mergeCell ref="C90:F91"/>
    <mergeCell ref="C96:C97"/>
    <mergeCell ref="D96:E96"/>
    <mergeCell ref="D97:E97"/>
    <mergeCell ref="F96:H96"/>
    <mergeCell ref="F97:H97"/>
    <mergeCell ref="C67:I67"/>
    <mergeCell ref="C68:I68"/>
    <mergeCell ref="C72:I72"/>
    <mergeCell ref="C73:I73"/>
    <mergeCell ref="C77:I77"/>
    <mergeCell ref="C63:I63"/>
    <mergeCell ref="C57:I57"/>
    <mergeCell ref="C58:I58"/>
    <mergeCell ref="C43:I43"/>
    <mergeCell ref="C47:I47"/>
    <mergeCell ref="C48:I48"/>
    <mergeCell ref="C52:I52"/>
    <mergeCell ref="C53:I53"/>
    <mergeCell ref="O16:U20"/>
    <mergeCell ref="F38:G38"/>
    <mergeCell ref="H38:I38"/>
    <mergeCell ref="C42:I42"/>
    <mergeCell ref="C62:I62"/>
  </mergeCells>
  <conditionalFormatting sqref="H38">
    <cfRule type="expression" dxfId="603" priority="55">
      <formula>$A$2="PRINT"</formula>
    </cfRule>
  </conditionalFormatting>
  <conditionalFormatting sqref="E41">
    <cfRule type="expression" dxfId="602" priority="54">
      <formula>$A$2="PRINT"</formula>
    </cfRule>
  </conditionalFormatting>
  <conditionalFormatting sqref="F41">
    <cfRule type="expression" dxfId="601" priority="53">
      <formula>$A$2="PRINT"</formula>
    </cfRule>
  </conditionalFormatting>
  <conditionalFormatting sqref="E46">
    <cfRule type="expression" dxfId="600" priority="52">
      <formula>$A$2="PRINT"</formula>
    </cfRule>
  </conditionalFormatting>
  <conditionalFormatting sqref="E71">
    <cfRule type="expression" dxfId="599" priority="42">
      <formula>$A$2="PRINT"</formula>
    </cfRule>
  </conditionalFormatting>
  <conditionalFormatting sqref="E51">
    <cfRule type="expression" dxfId="598" priority="50">
      <formula>$A$2="PRINT"</formula>
    </cfRule>
  </conditionalFormatting>
  <conditionalFormatting sqref="E56">
    <cfRule type="expression" dxfId="597" priority="48">
      <formula>$A$2="PRINT"</formula>
    </cfRule>
  </conditionalFormatting>
  <conditionalFormatting sqref="E76">
    <cfRule type="expression" dxfId="596" priority="40">
      <formula>$A$2="PRINT"</formula>
    </cfRule>
  </conditionalFormatting>
  <conditionalFormatting sqref="E61">
    <cfRule type="expression" dxfId="595" priority="46">
      <formula>$A$2="PRINT"</formula>
    </cfRule>
  </conditionalFormatting>
  <conditionalFormatting sqref="E66">
    <cfRule type="expression" dxfId="594" priority="44">
      <formula>$A$2="PRINT"</formula>
    </cfRule>
  </conditionalFormatting>
  <conditionalFormatting sqref="E81">
    <cfRule type="expression" dxfId="593" priority="38">
      <formula>$A$2="PRINT"</formula>
    </cfRule>
  </conditionalFormatting>
  <conditionalFormatting sqref="E86">
    <cfRule type="expression" dxfId="592" priority="36">
      <formula>$A$2="PRINT"</formula>
    </cfRule>
  </conditionalFormatting>
  <conditionalFormatting sqref="F46">
    <cfRule type="expression" dxfId="591" priority="34">
      <formula>$A$2="PRINT"</formula>
    </cfRule>
  </conditionalFormatting>
  <conditionalFormatting sqref="F51">
    <cfRule type="expression" dxfId="590" priority="33">
      <formula>$A$2="PRINT"</formula>
    </cfRule>
  </conditionalFormatting>
  <conditionalFormatting sqref="F56">
    <cfRule type="expression" dxfId="589" priority="32">
      <formula>$A$2="PRINT"</formula>
    </cfRule>
  </conditionalFormatting>
  <conditionalFormatting sqref="F61">
    <cfRule type="expression" dxfId="588" priority="31">
      <formula>$A$2="PRINT"</formula>
    </cfRule>
  </conditionalFormatting>
  <conditionalFormatting sqref="F66">
    <cfRule type="expression" dxfId="587" priority="30">
      <formula>$A$2="PRINT"</formula>
    </cfRule>
  </conditionalFormatting>
  <conditionalFormatting sqref="F71">
    <cfRule type="expression" dxfId="586" priority="29">
      <formula>$A$2="PRINT"</formula>
    </cfRule>
  </conditionalFormatting>
  <conditionalFormatting sqref="F76">
    <cfRule type="expression" dxfId="585" priority="28">
      <formula>$A$2="PRINT"</formula>
    </cfRule>
  </conditionalFormatting>
  <conditionalFormatting sqref="F81">
    <cfRule type="expression" dxfId="584" priority="27">
      <formula>$A$2="PRINT"</formula>
    </cfRule>
  </conditionalFormatting>
  <conditionalFormatting sqref="F86">
    <cfRule type="expression" dxfId="583" priority="26">
      <formula>$A$2="PRINT"</formula>
    </cfRule>
  </conditionalFormatting>
  <conditionalFormatting sqref="D100">
    <cfRule type="expression" dxfId="582" priority="25">
      <formula>$A$2="PRINT"</formula>
    </cfRule>
  </conditionalFormatting>
  <conditionalFormatting sqref="H108">
    <cfRule type="expression" dxfId="581" priority="24">
      <formula>$A$2="PRINT"</formula>
    </cfRule>
  </conditionalFormatting>
  <conditionalFormatting sqref="E111">
    <cfRule type="expression" dxfId="580" priority="23">
      <formula>$A$2="PRINT"</formula>
    </cfRule>
  </conditionalFormatting>
  <conditionalFormatting sqref="F111">
    <cfRule type="expression" dxfId="579" priority="22">
      <formula>$A$2="PRINT"</formula>
    </cfRule>
  </conditionalFormatting>
  <conditionalFormatting sqref="E116">
    <cfRule type="expression" dxfId="578" priority="21">
      <formula>$A$2="PRINT"</formula>
    </cfRule>
  </conditionalFormatting>
  <conditionalFormatting sqref="E141">
    <cfRule type="expression" dxfId="577" priority="16">
      <formula>$A$2="PRINT"</formula>
    </cfRule>
  </conditionalFormatting>
  <conditionalFormatting sqref="E121">
    <cfRule type="expression" dxfId="576" priority="20">
      <formula>$A$2="PRINT"</formula>
    </cfRule>
  </conditionalFormatting>
  <conditionalFormatting sqref="E126">
    <cfRule type="expression" dxfId="575" priority="19">
      <formula>$A$2="PRINT"</formula>
    </cfRule>
  </conditionalFormatting>
  <conditionalFormatting sqref="E146">
    <cfRule type="expression" dxfId="574" priority="15">
      <formula>$A$2="PRINT"</formula>
    </cfRule>
  </conditionalFormatting>
  <conditionalFormatting sqref="E131">
    <cfRule type="expression" dxfId="573" priority="18">
      <formula>$A$2="PRINT"</formula>
    </cfRule>
  </conditionalFormatting>
  <conditionalFormatting sqref="E136">
    <cfRule type="expression" dxfId="572" priority="17">
      <formula>$A$2="PRINT"</formula>
    </cfRule>
  </conditionalFormatting>
  <conditionalFormatting sqref="E151">
    <cfRule type="expression" dxfId="571" priority="14">
      <formula>$A$2="PRINT"</formula>
    </cfRule>
  </conditionalFormatting>
  <conditionalFormatting sqref="E156">
    <cfRule type="expression" dxfId="570" priority="13">
      <formula>$A$2="PRINT"</formula>
    </cfRule>
  </conditionalFormatting>
  <conditionalFormatting sqref="F116">
    <cfRule type="expression" dxfId="569" priority="12">
      <formula>$A$2="PRINT"</formula>
    </cfRule>
  </conditionalFormatting>
  <conditionalFormatting sqref="F121">
    <cfRule type="expression" dxfId="568" priority="11">
      <formula>$A$2="PRINT"</formula>
    </cfRule>
  </conditionalFormatting>
  <conditionalFormatting sqref="F126">
    <cfRule type="expression" dxfId="567" priority="10">
      <formula>$A$2="PRINT"</formula>
    </cfRule>
  </conditionalFormatting>
  <conditionalFormatting sqref="F131">
    <cfRule type="expression" dxfId="566" priority="9">
      <formula>$A$2="PRINT"</formula>
    </cfRule>
  </conditionalFormatting>
  <conditionalFormatting sqref="F136">
    <cfRule type="expression" dxfId="565" priority="8">
      <formula>$A$2="PRINT"</formula>
    </cfRule>
  </conditionalFormatting>
  <conditionalFormatting sqref="F141">
    <cfRule type="expression" dxfId="564" priority="7">
      <formula>$A$2="PRINT"</formula>
    </cfRule>
  </conditionalFormatting>
  <conditionalFormatting sqref="F146">
    <cfRule type="expression" dxfId="563" priority="6">
      <formula>$A$2="PRINT"</formula>
    </cfRule>
  </conditionalFormatting>
  <conditionalFormatting sqref="F151">
    <cfRule type="expression" dxfId="562" priority="5">
      <formula>$A$2="PRINT"</formula>
    </cfRule>
  </conditionalFormatting>
  <conditionalFormatting sqref="F156">
    <cfRule type="expression" dxfId="561" priority="4">
      <formula>$A$2="PRINT"</formula>
    </cfRule>
  </conditionalFormatting>
  <conditionalFormatting sqref="D170">
    <cfRule type="expression" dxfId="560" priority="3">
      <formula>$A$2="PRINT"</formula>
    </cfRule>
  </conditionalFormatting>
  <conditionalFormatting sqref="E185">
    <cfRule type="expression" dxfId="559" priority="2">
      <formula>$A$2="PRINT"</formula>
    </cfRule>
  </conditionalFormatting>
  <conditionalFormatting sqref="E186">
    <cfRule type="expression" dxfId="558" priority="1">
      <formula>$A$2="PRINT"</formula>
    </cfRule>
  </conditionalFormatting>
  <dataValidations count="4">
    <dataValidation type="list" allowBlank="1" showInputMessage="1" showErrorMessage="1" sqref="H38:I38 H108:I108" xr:uid="{00000000-0002-0000-2000-000000000000}">
      <formula1>" Click to select,0,1,2,3,4,5,6,7,8,9,10"</formula1>
    </dataValidation>
    <dataValidation type="list" allowBlank="1" showInputMessage="1" showErrorMessage="1" sqref="E41 E46 E51 E56 E61 E66 E71 E76 E81 E86 E111 E116 E121 E126 E131 E136 E141 E146 E151 E156" xr:uid="{00000000-0002-0000-2000-000001000000}">
      <formula1>" Click to select,ANSP,MET,NSA/EUROCONTROL"</formula1>
    </dataValidation>
    <dataValidation type="list" allowBlank="1" showInputMessage="1" showErrorMessage="1" sqref="F41 F46 F51 F56 F61 F66 F71 F76 F81 F86 F111 F116 F121 F126 F131 F136 F141 F146 F151 F156" xr:uid="{00000000-0002-0000-2000-000002000000}">
      <formula1>" Click to select,Staff,Other operating,Depreciation,Cost of capital,Exceptional items"</formula1>
    </dataValidation>
    <dataValidation type="list" allowBlank="1" showInputMessage="1" showErrorMessage="1" sqref="D100 D170 E185:E187" xr:uid="{00000000-0002-0000-2000-000003000000}">
      <formula1>" Click to select,Yes,No"</formula1>
    </dataValidation>
  </dataValidations>
  <pageMargins left="0.7" right="0.7" top="0.75" bottom="0.75" header="0.3" footer="0.3"/>
  <pageSetup paperSize="9" scale="49" fitToHeight="0" orientation="landscape" r:id="rId1"/>
  <headerFooter>
    <oddFooter>&amp;C&amp;P</oddFooter>
  </headerFooter>
  <drawing r:id="rId2"/>
  <picture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theme="2" tint="-0.249977111117893"/>
    <pageSetUpPr fitToPage="1"/>
  </sheetPr>
  <dimension ref="A2:R197"/>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3.28515625" customWidth="1"/>
    <col min="4" max="9" width="16.28515625" customWidth="1"/>
    <col min="10" max="10" width="1.28515625" customWidth="1"/>
    <col min="11" max="12" width="14" customWidth="1"/>
    <col min="13" max="13" width="1.42578125" customWidth="1"/>
  </cols>
  <sheetData>
    <row r="2" spans="1:18" ht="18.75" hidden="1">
      <c r="A2" s="365"/>
      <c r="C2" s="42" t="s">
        <v>1058</v>
      </c>
    </row>
    <row r="3" spans="1:18" hidden="1">
      <c r="A3" s="107"/>
      <c r="C3" s="86"/>
    </row>
    <row r="4" spans="1:18" ht="18" thickBot="1">
      <c r="C4" s="32" t="s">
        <v>1008</v>
      </c>
      <c r="D4" s="32"/>
      <c r="E4" s="32"/>
      <c r="F4" s="32"/>
      <c r="G4" s="32"/>
      <c r="H4" s="32"/>
      <c r="I4" s="32"/>
      <c r="J4" s="32"/>
      <c r="K4" s="32"/>
      <c r="L4" s="32"/>
      <c r="O4" s="443" t="str">
        <f>MID($C$6,FIND(" -",$C$6)+3,LEN($C$6)-FIND(" -",$C$6)+1)</f>
        <v/>
      </c>
      <c r="P4" s="443" t="e">
        <f>INDEX(Table_CRCO_Factor[May 2019 (based on 12 months)],MATCH($O$4,Table_CRCO_Factor[ECZ],0))</f>
        <v>#N/A</v>
      </c>
      <c r="Q4" s="443" t="e">
        <f ca="1">IF(AND($F$16&lt;&gt;"",ROUND($F$16/1000,0)&lt;&gt;ROUND('1.2 Traffic forecasts'!$F$33+'1.2 Traffic forecasts'!$G$33,0)),", 2020/2021","")&amp;IF(AND($G$16&lt;&gt;"",ROUND($G$16/1000,0)&lt;&gt;ROUND('1.2 Traffic forecasts'!$H$33,0)),", 2022","")&amp;IF(AND($H$16&lt;&gt;"",ROUND($H$16/1000,0)&lt;&gt;ROUND('1.2 Traffic forecasts'!$I$33,0)),", 2023","")&amp;IF(AND($I$16&lt;&gt;"",ROUND($I$16/1000,0)&lt;&gt;ROUND('1.2 Traffic forecasts'!$J$33,0)),", 2024","")</f>
        <v>#VALUE!</v>
      </c>
      <c r="R4" s="443" t="e">
        <f>IF(AND($F$16&lt;&gt;"",ROUND($F$16/1000,0)&lt;&gt;ROUND('1.2 Traffic forecasts'!$F$39+'1.2 Traffic forecasts'!$G$39,0)),", 2020/2021","")&amp;IF(AND($G$16&lt;&gt;"",ROUND($G$16/1000,0)&lt;&gt;ROUND('1.2 Traffic forecasts'!$H$39,0)),", 2022","")&amp;IF(AND($H$16&lt;&gt;"",ROUND($H$16/1000,0)&lt;&gt;ROUND('1.2 Traffic forecasts'!$I$39,0)),", 2023","")&amp;IF(AND($I$16&lt;&gt;"",ROUND($I$16/1000,0)&lt;&gt;ROUND('1.2 Traffic forecasts'!$J$39,0)),", 2024","")</f>
        <v>#VALUE!</v>
      </c>
    </row>
    <row r="5" spans="1:18">
      <c r="C5" s="227"/>
      <c r="D5" s="227"/>
      <c r="E5" s="227"/>
      <c r="F5" s="227"/>
      <c r="G5" s="247"/>
      <c r="H5" s="247"/>
      <c r="I5" s="247"/>
      <c r="J5" s="247"/>
      <c r="K5" s="247"/>
      <c r="L5" s="247"/>
    </row>
    <row r="6" spans="1:18" ht="15.75">
      <c r="C6" s="117" t="str">
        <f>"En Route Charging Zone #2 - " &amp; IF('1.1 The situation'!$C$83="","",'1.1 The situation'!$C$83)</f>
        <v xml:space="preserve">En Route Charging Zone #2 - </v>
      </c>
      <c r="D6" s="117"/>
      <c r="E6" s="117"/>
      <c r="F6" s="117"/>
    </row>
    <row r="7" spans="1:18">
      <c r="B7" s="85"/>
    </row>
    <row r="8" spans="1:18">
      <c r="B8" s="85"/>
      <c r="C8" s="76" t="s">
        <v>1643</v>
      </c>
    </row>
    <row r="9" spans="1:18">
      <c r="B9" s="85"/>
    </row>
    <row r="10" spans="1:18">
      <c r="B10" s="85"/>
      <c r="C10" s="251" t="s">
        <v>1059</v>
      </c>
      <c r="D10" s="351" t="s">
        <v>1433</v>
      </c>
      <c r="E10" s="351" t="s">
        <v>1060</v>
      </c>
      <c r="F10" s="418" t="s">
        <v>1559</v>
      </c>
      <c r="G10" s="418"/>
      <c r="H10" s="418"/>
      <c r="I10" s="418"/>
      <c r="J10" s="252"/>
      <c r="K10" s="253" t="s">
        <v>713</v>
      </c>
      <c r="L10" s="419" t="s">
        <v>713</v>
      </c>
      <c r="M10" s="182"/>
    </row>
    <row r="11" spans="1:18">
      <c r="B11" s="85"/>
      <c r="C11" s="423" t="s">
        <v>1070</v>
      </c>
      <c r="D11" s="350" t="s">
        <v>1432</v>
      </c>
      <c r="E11" s="251" t="s">
        <v>710</v>
      </c>
      <c r="F11" s="251" t="s">
        <v>1562</v>
      </c>
      <c r="G11" s="251" t="s">
        <v>711</v>
      </c>
      <c r="H11" s="251" t="s">
        <v>712</v>
      </c>
      <c r="I11" s="251" t="s">
        <v>713</v>
      </c>
      <c r="J11" s="252"/>
      <c r="K11" s="420" t="s">
        <v>1560</v>
      </c>
      <c r="L11" s="421" t="s">
        <v>1561</v>
      </c>
      <c r="M11" s="182"/>
      <c r="O11" s="462" t="str">
        <f>IF(OR(C11='1.1 The situation'!$C$83,C11="Name of the CZ"),"","Attention: The name of the Charging Zone below is different from used in the worksheet '1.1 The situation'.")</f>
        <v/>
      </c>
    </row>
    <row r="12" spans="1:18">
      <c r="B12" s="85"/>
      <c r="C12" s="256" t="s">
        <v>1067</v>
      </c>
      <c r="D12" s="469"/>
      <c r="E12" s="469"/>
      <c r="F12" s="248"/>
      <c r="G12" s="248"/>
      <c r="H12" s="248"/>
      <c r="I12" s="248"/>
      <c r="J12" s="252"/>
      <c r="K12" s="258"/>
      <c r="L12" s="258"/>
      <c r="M12" s="182"/>
    </row>
    <row r="13" spans="1:18" ht="15" customHeight="1">
      <c r="B13" s="85"/>
      <c r="C13" s="259" t="s">
        <v>715</v>
      </c>
      <c r="D13" s="470"/>
      <c r="E13" s="470"/>
      <c r="F13" s="261"/>
      <c r="G13" s="261"/>
      <c r="H13" s="261"/>
      <c r="I13" s="261"/>
      <c r="J13" s="252"/>
      <c r="K13" s="262"/>
      <c r="L13" s="262"/>
      <c r="M13" s="182"/>
    </row>
    <row r="14" spans="1:18" ht="15" customHeight="1">
      <c r="B14" s="85"/>
      <c r="C14" s="422" t="s">
        <v>1563</v>
      </c>
      <c r="D14" s="248"/>
      <c r="E14" s="248"/>
      <c r="F14" s="248"/>
      <c r="G14" s="248"/>
      <c r="H14" s="248"/>
      <c r="I14" s="248"/>
      <c r="J14" s="252"/>
      <c r="K14" s="258"/>
      <c r="L14" s="258"/>
      <c r="M14" s="182"/>
    </row>
    <row r="15" spans="1:18">
      <c r="B15" s="85"/>
      <c r="C15" s="256" t="s">
        <v>714</v>
      </c>
      <c r="D15" s="257"/>
      <c r="E15" s="257"/>
      <c r="F15" s="263"/>
      <c r="G15" s="263"/>
      <c r="H15" s="263"/>
      <c r="I15" s="263"/>
      <c r="J15" s="252"/>
      <c r="K15" s="257"/>
      <c r="L15" s="257"/>
      <c r="M15" s="182"/>
    </row>
    <row r="16" spans="1:18">
      <c r="B16" s="85"/>
      <c r="C16" s="256" t="s">
        <v>716</v>
      </c>
      <c r="D16" s="469"/>
      <c r="E16" s="469"/>
      <c r="F16" s="248"/>
      <c r="G16" s="248"/>
      <c r="H16" s="248"/>
      <c r="I16" s="248"/>
      <c r="J16" s="252"/>
      <c r="K16" s="258"/>
      <c r="L16" s="258"/>
      <c r="M16" s="182"/>
      <c r="O16" s="462" t="str">
        <f ca="1">IFERROR(IF('1.2 Traffic forecasts'!$C$28&lt;&gt;"Local Forecast",
IF(SUMPRODUCT((ROUND($G$16:$I$16/1000,0)&lt;&gt;ROUND('1.2 Traffic forecasts'!$H$33:$J$33,0))*($G$16:$I$16&lt;&gt;""))+(ROUND(SUM('1.2 Traffic forecasts'!$F$33:$G$33),0)&lt;&gt;ROUND($F$16/1000,0))*1&lt;&gt;0,"Attention: the TSUs provided below for this CZ do not correspond the figures provided in Section '1.2 Traffic forecasts'"&amp;IF($Q$4&lt;&gt;""," for the year(s) "&amp;MID($Q$4,3,LEN($Q$4)-2),""),""),
IF(SUMPRODUCT((ROUND($G$16:$I$16/1000,0)&lt;&gt;ROUND('1.2 Traffic forecasts'!$H$39:$J$39,0))*($G$16:$I$16&lt;&gt;""))+(ROUND(SUM('1.2 Traffic forecasts'!$F$39:$G$39),0)&lt;&gt;ROUND($F$16/1000,0))*1&lt;&gt;0,"Attention: the TSUs provided below for this CZ do not correspond the figures provided in Section '1.2 Traffic forecasts'"&amp;IF($R$4&lt;&gt;""," for the year(s) "&amp;MID($R$4,3,LEN($R$4)-2),""),"")),"")</f>
        <v/>
      </c>
    </row>
    <row r="17" spans="2:13">
      <c r="B17" s="85"/>
      <c r="C17" s="256" t="s">
        <v>714</v>
      </c>
      <c r="D17" s="257"/>
      <c r="E17" s="257"/>
      <c r="F17" s="263"/>
      <c r="G17" s="263"/>
      <c r="H17" s="263"/>
      <c r="I17" s="263"/>
      <c r="J17" s="265"/>
      <c r="K17" s="257"/>
      <c r="L17" s="257"/>
      <c r="M17" s="182"/>
    </row>
    <row r="18" spans="2:13">
      <c r="B18" s="85"/>
      <c r="C18" s="249" t="s">
        <v>717</v>
      </c>
      <c r="D18" s="266"/>
      <c r="E18" s="266"/>
      <c r="F18" s="250"/>
      <c r="G18" s="250"/>
      <c r="H18" s="250"/>
      <c r="I18" s="250"/>
      <c r="J18" s="252"/>
      <c r="K18" s="262"/>
      <c r="L18" s="262"/>
      <c r="M18" s="182"/>
    </row>
    <row r="19" spans="2:13" ht="17.25">
      <c r="B19" s="85"/>
      <c r="C19" s="256" t="s">
        <v>1068</v>
      </c>
      <c r="D19" s="266"/>
      <c r="E19" s="266"/>
      <c r="F19" s="250"/>
      <c r="G19" s="250"/>
      <c r="H19" s="250"/>
      <c r="I19" s="250"/>
      <c r="J19" s="265"/>
      <c r="K19" s="262"/>
      <c r="L19" s="262"/>
      <c r="M19" s="182"/>
    </row>
    <row r="20" spans="2:13">
      <c r="B20" s="85"/>
      <c r="C20" s="256" t="s">
        <v>714</v>
      </c>
      <c r="D20" s="255"/>
      <c r="E20" s="255"/>
      <c r="F20" s="263"/>
      <c r="G20" s="263"/>
      <c r="H20" s="263"/>
      <c r="I20" s="263"/>
      <c r="J20" s="265"/>
      <c r="K20" s="255"/>
      <c r="L20" s="310"/>
      <c r="M20" s="182"/>
    </row>
    <row r="21" spans="2:13">
      <c r="B21" s="85"/>
      <c r="C21" s="267"/>
      <c r="D21" s="116"/>
      <c r="E21" s="116"/>
      <c r="F21" s="152"/>
      <c r="G21" s="152"/>
      <c r="H21" s="152"/>
      <c r="I21" s="152"/>
    </row>
    <row r="22" spans="2:13">
      <c r="B22" s="85"/>
      <c r="C22" s="352" t="s">
        <v>1061</v>
      </c>
      <c r="D22" s="353"/>
      <c r="E22" s="268"/>
      <c r="F22" s="182"/>
    </row>
    <row r="23" spans="2:13" ht="17.25">
      <c r="B23" s="85"/>
      <c r="C23" s="354" t="s">
        <v>1069</v>
      </c>
      <c r="D23" s="355"/>
      <c r="E23" s="269"/>
      <c r="F23" s="182"/>
    </row>
    <row r="24" spans="2:13" ht="8.1" customHeight="1">
      <c r="B24" s="85"/>
      <c r="C24" s="152"/>
      <c r="D24" s="152"/>
      <c r="E24" s="152"/>
    </row>
    <row r="25" spans="2:13" ht="8.1" customHeight="1">
      <c r="B25" s="85"/>
    </row>
    <row r="26" spans="2:13">
      <c r="B26" s="85"/>
      <c r="C26" s="76" t="s">
        <v>1564</v>
      </c>
    </row>
    <row r="27" spans="2:13">
      <c r="B27" s="85"/>
    </row>
    <row r="28" spans="2:13" ht="15" customHeight="1">
      <c r="B28" s="85"/>
      <c r="C28" s="251" t="s">
        <v>1059</v>
      </c>
      <c r="D28" s="351" t="s">
        <v>1433</v>
      </c>
      <c r="E28" s="351" t="s">
        <v>1060</v>
      </c>
      <c r="F28" s="351" t="s">
        <v>1565</v>
      </c>
      <c r="G28" s="351" t="s">
        <v>1566</v>
      </c>
      <c r="H28" s="468" t="s">
        <v>1686</v>
      </c>
      <c r="I28" s="468" t="s">
        <v>1688</v>
      </c>
    </row>
    <row r="29" spans="2:13">
      <c r="B29" s="85"/>
      <c r="C29" s="423" t="s">
        <v>1070</v>
      </c>
      <c r="D29" s="420" t="s">
        <v>1432</v>
      </c>
      <c r="E29" s="424" t="s">
        <v>710</v>
      </c>
      <c r="F29" s="420" t="s">
        <v>1567</v>
      </c>
      <c r="G29" s="425" t="s">
        <v>1568</v>
      </c>
      <c r="H29" s="421" t="s">
        <v>1687</v>
      </c>
      <c r="I29" s="421" t="s">
        <v>1689</v>
      </c>
    </row>
    <row r="30" spans="2:13">
      <c r="B30" s="85"/>
      <c r="C30" s="422" t="s">
        <v>1569</v>
      </c>
      <c r="D30" s="2"/>
      <c r="E30" s="2"/>
      <c r="F30" s="2"/>
      <c r="G30" s="2"/>
      <c r="H30" s="2"/>
      <c r="I30" s="2"/>
    </row>
    <row r="31" spans="2:13" ht="15" customHeight="1">
      <c r="B31" s="85"/>
      <c r="C31" s="426" t="s">
        <v>1570</v>
      </c>
      <c r="D31" s="427"/>
      <c r="E31" s="427"/>
      <c r="F31" s="2"/>
      <c r="G31" s="2"/>
      <c r="H31" s="2"/>
      <c r="I31" s="2"/>
    </row>
    <row r="32" spans="2:13" ht="17.25">
      <c r="B32" s="85"/>
      <c r="C32" s="256" t="s">
        <v>1563</v>
      </c>
      <c r="D32" s="2"/>
      <c r="E32" s="2"/>
      <c r="F32" s="2"/>
      <c r="G32" s="2"/>
      <c r="H32" s="2"/>
      <c r="I32" s="2"/>
    </row>
    <row r="33" spans="2:9">
      <c r="B33" s="85"/>
      <c r="C33" s="422" t="s">
        <v>1571</v>
      </c>
      <c r="D33" s="2"/>
      <c r="E33" s="2"/>
      <c r="F33" s="2"/>
      <c r="G33" s="2"/>
      <c r="H33" s="2"/>
      <c r="I33" s="2"/>
    </row>
    <row r="34" spans="2:9">
      <c r="B34" s="85"/>
    </row>
    <row r="36" spans="2:9">
      <c r="C36" s="76" t="s">
        <v>1592</v>
      </c>
    </row>
    <row r="38" spans="2:9">
      <c r="C38" s="444" t="s">
        <v>1615</v>
      </c>
      <c r="F38" s="920" t="s">
        <v>1572</v>
      </c>
      <c r="G38" s="920"/>
      <c r="H38" s="921" t="s">
        <v>240</v>
      </c>
      <c r="I38" s="921"/>
    </row>
    <row r="40" spans="2:9" hidden="1">
      <c r="C40" s="428" t="s">
        <v>1573</v>
      </c>
      <c r="D40" s="429" t="s">
        <v>259</v>
      </c>
      <c r="E40" s="429" t="s">
        <v>1574</v>
      </c>
      <c r="F40" s="429" t="s">
        <v>1575</v>
      </c>
      <c r="G40" s="429" t="s">
        <v>1576</v>
      </c>
      <c r="H40" s="429" t="s">
        <v>1577</v>
      </c>
      <c r="I40" s="429" t="s">
        <v>1578</v>
      </c>
    </row>
    <row r="41" spans="2:9" hidden="1">
      <c r="C41" s="430" t="s">
        <v>1581</v>
      </c>
      <c r="D41" s="430"/>
      <c r="E41" s="156" t="s">
        <v>240</v>
      </c>
      <c r="F41" s="431" t="s">
        <v>240</v>
      </c>
      <c r="G41" s="432"/>
      <c r="H41" s="451">
        <f>IF(OR(E41="Click to select",F41="Click to select"),0,IF(OR(E41="ANSP",E41="MET"),IF(OR(F41="Staff",F41="Other operating",F41="Exceptional items"),G41/(INDEX(Table_Inflation_IDX_ECZ[Inflation Index 2014 Actual],MATCH($O$4,Table_Inflation_IDX_ECZ[ER_CZ],0))/100),G41),G41))</f>
        <v>0</v>
      </c>
      <c r="I41" s="451">
        <f>IFERROR(H41/$E$23,0)</f>
        <v>0</v>
      </c>
    </row>
    <row r="42" spans="2:9" hidden="1">
      <c r="C42" s="922" t="s">
        <v>1579</v>
      </c>
      <c r="D42" s="923"/>
      <c r="E42" s="923"/>
      <c r="F42" s="923"/>
      <c r="G42" s="923"/>
      <c r="H42" s="923"/>
      <c r="I42" s="924"/>
    </row>
    <row r="43" spans="2:9" ht="30" hidden="1" customHeight="1">
      <c r="C43" s="925" t="s">
        <v>1580</v>
      </c>
      <c r="D43" s="926"/>
      <c r="E43" s="926"/>
      <c r="F43" s="926"/>
      <c r="G43" s="926"/>
      <c r="H43" s="926"/>
      <c r="I43" s="927"/>
    </row>
    <row r="44" spans="2:9" hidden="1"/>
    <row r="45" spans="2:9" hidden="1">
      <c r="C45" s="428" t="s">
        <v>1582</v>
      </c>
      <c r="D45" s="429" t="s">
        <v>259</v>
      </c>
      <c r="E45" s="429" t="s">
        <v>1574</v>
      </c>
      <c r="F45" s="429" t="s">
        <v>1575</v>
      </c>
      <c r="G45" s="429" t="s">
        <v>1576</v>
      </c>
      <c r="H45" s="429" t="s">
        <v>1577</v>
      </c>
      <c r="I45" s="429" t="s">
        <v>1578</v>
      </c>
    </row>
    <row r="46" spans="2:9" hidden="1">
      <c r="C46" s="430" t="s">
        <v>1581</v>
      </c>
      <c r="D46" s="430"/>
      <c r="E46" s="156" t="s">
        <v>240</v>
      </c>
      <c r="F46" s="431" t="s">
        <v>240</v>
      </c>
      <c r="G46" s="432"/>
      <c r="H46" s="451">
        <f>IF(OR(E46="Click to select",F46="Click to select"),0,IF(OR(E46="ANSP",E46="MET"),IF(OR(F46="Staff",F46="Other operating",F46="Exceptional items"),G46/(INDEX(Table_Inflation_IDX_ECZ[Inflation Index 2014 Actual],MATCH($O$4,Table_Inflation_IDX_ECZ[ER_CZ],0))/100),G46),G46))</f>
        <v>0</v>
      </c>
      <c r="I46" s="451">
        <f>IFERROR(H46/$E$23,0)</f>
        <v>0</v>
      </c>
    </row>
    <row r="47" spans="2:9" hidden="1">
      <c r="C47" s="922" t="s">
        <v>1579</v>
      </c>
      <c r="D47" s="923"/>
      <c r="E47" s="923"/>
      <c r="F47" s="923"/>
      <c r="G47" s="923"/>
      <c r="H47" s="923"/>
      <c r="I47" s="924"/>
    </row>
    <row r="48" spans="2:9" ht="30" hidden="1" customHeight="1">
      <c r="C48" s="925" t="s">
        <v>1580</v>
      </c>
      <c r="D48" s="926"/>
      <c r="E48" s="926"/>
      <c r="F48" s="926"/>
      <c r="G48" s="926"/>
      <c r="H48" s="926"/>
      <c r="I48" s="927"/>
    </row>
    <row r="49" spans="3:9" hidden="1"/>
    <row r="50" spans="3:9" hidden="1">
      <c r="C50" s="428" t="s">
        <v>1583</v>
      </c>
      <c r="D50" s="429" t="s">
        <v>259</v>
      </c>
      <c r="E50" s="429" t="s">
        <v>1574</v>
      </c>
      <c r="F50" s="429" t="s">
        <v>1575</v>
      </c>
      <c r="G50" s="429" t="s">
        <v>1576</v>
      </c>
      <c r="H50" s="429" t="s">
        <v>1577</v>
      </c>
      <c r="I50" s="429" t="s">
        <v>1578</v>
      </c>
    </row>
    <row r="51" spans="3:9" hidden="1">
      <c r="C51" s="430" t="s">
        <v>1581</v>
      </c>
      <c r="D51" s="430"/>
      <c r="E51" s="156" t="s">
        <v>240</v>
      </c>
      <c r="F51" s="431" t="s">
        <v>240</v>
      </c>
      <c r="G51" s="432"/>
      <c r="H51" s="451">
        <f>IF(OR(E51="Click to select",F51="Click to select"),0,IF(OR(E51="ANSP",E51="MET"),IF(OR(F51="Staff",F51="Other operating",F51="Exceptional items"),G51/(INDEX(Table_Inflation_IDX_ECZ[Inflation Index 2014 Actual],MATCH($O$4,Table_Inflation_IDX_ECZ[ER_CZ],0))/100),G51),G51))</f>
        <v>0</v>
      </c>
      <c r="I51" s="451">
        <f>IFERROR(H51/$E$23,0)</f>
        <v>0</v>
      </c>
    </row>
    <row r="52" spans="3:9" hidden="1">
      <c r="C52" s="922" t="s">
        <v>1579</v>
      </c>
      <c r="D52" s="923"/>
      <c r="E52" s="923"/>
      <c r="F52" s="923"/>
      <c r="G52" s="923"/>
      <c r="H52" s="923"/>
      <c r="I52" s="924"/>
    </row>
    <row r="53" spans="3:9" ht="30" hidden="1" customHeight="1">
      <c r="C53" s="925" t="s">
        <v>1580</v>
      </c>
      <c r="D53" s="926"/>
      <c r="E53" s="926"/>
      <c r="F53" s="926"/>
      <c r="G53" s="926"/>
      <c r="H53" s="926"/>
      <c r="I53" s="927"/>
    </row>
    <row r="54" spans="3:9" hidden="1"/>
    <row r="55" spans="3:9" hidden="1">
      <c r="C55" s="428" t="s">
        <v>1584</v>
      </c>
      <c r="D55" s="429" t="s">
        <v>259</v>
      </c>
      <c r="E55" s="429" t="s">
        <v>1574</v>
      </c>
      <c r="F55" s="429" t="s">
        <v>1575</v>
      </c>
      <c r="G55" s="429" t="s">
        <v>1576</v>
      </c>
      <c r="H55" s="429" t="s">
        <v>1577</v>
      </c>
      <c r="I55" s="429" t="s">
        <v>1578</v>
      </c>
    </row>
    <row r="56" spans="3:9" hidden="1">
      <c r="C56" s="430" t="s">
        <v>1581</v>
      </c>
      <c r="D56" s="430"/>
      <c r="E56" s="156" t="s">
        <v>240</v>
      </c>
      <c r="F56" s="431" t="s">
        <v>240</v>
      </c>
      <c r="G56" s="432"/>
      <c r="H56" s="451">
        <f>IF(OR(E56="Click to select",F56="Click to select"),0,IF(OR(E56="ANSP",E56="MET"),IF(OR(F56="Staff",F56="Other operating",F56="Exceptional items"),G56/(INDEX(Table_Inflation_IDX_ECZ[Inflation Index 2014 Actual],MATCH($O$4,Table_Inflation_IDX_ECZ[ER_CZ],0))/100),G56),G56))</f>
        <v>0</v>
      </c>
      <c r="I56" s="451">
        <f>IFERROR(H56/$E$23,0)</f>
        <v>0</v>
      </c>
    </row>
    <row r="57" spans="3:9" hidden="1">
      <c r="C57" s="922" t="s">
        <v>1579</v>
      </c>
      <c r="D57" s="923"/>
      <c r="E57" s="923"/>
      <c r="F57" s="923"/>
      <c r="G57" s="923"/>
      <c r="H57" s="923"/>
      <c r="I57" s="924"/>
    </row>
    <row r="58" spans="3:9" ht="30" hidden="1" customHeight="1">
      <c r="C58" s="925" t="s">
        <v>1580</v>
      </c>
      <c r="D58" s="926"/>
      <c r="E58" s="926"/>
      <c r="F58" s="926"/>
      <c r="G58" s="926"/>
      <c r="H58" s="926"/>
      <c r="I58" s="927"/>
    </row>
    <row r="59" spans="3:9" hidden="1"/>
    <row r="60" spans="3:9" hidden="1">
      <c r="C60" s="428" t="s">
        <v>1585</v>
      </c>
      <c r="D60" s="429" t="s">
        <v>259</v>
      </c>
      <c r="E60" s="429" t="s">
        <v>1574</v>
      </c>
      <c r="F60" s="429" t="s">
        <v>1575</v>
      </c>
      <c r="G60" s="429" t="s">
        <v>1576</v>
      </c>
      <c r="H60" s="429" t="s">
        <v>1577</v>
      </c>
      <c r="I60" s="429" t="s">
        <v>1578</v>
      </c>
    </row>
    <row r="61" spans="3:9" hidden="1">
      <c r="C61" s="430" t="s">
        <v>1581</v>
      </c>
      <c r="D61" s="430"/>
      <c r="E61" s="156" t="s">
        <v>240</v>
      </c>
      <c r="F61" s="431" t="s">
        <v>240</v>
      </c>
      <c r="G61" s="432"/>
      <c r="H61" s="451">
        <f>IF(OR(E61="Click to select",F61="Click to select"),0,IF(OR(E61="ANSP",E61="MET"),IF(OR(F61="Staff",F61="Other operating",F61="Exceptional items"),G61/(INDEX(Table_Inflation_IDX_ECZ[Inflation Index 2014 Actual],MATCH($O$4,Table_Inflation_IDX_ECZ[ER_CZ],0))/100),G61),G61))</f>
        <v>0</v>
      </c>
      <c r="I61" s="451">
        <f>IFERROR(H61/$E$23,0)</f>
        <v>0</v>
      </c>
    </row>
    <row r="62" spans="3:9" hidden="1">
      <c r="C62" s="922" t="s">
        <v>1579</v>
      </c>
      <c r="D62" s="923"/>
      <c r="E62" s="923"/>
      <c r="F62" s="923"/>
      <c r="G62" s="923"/>
      <c r="H62" s="923"/>
      <c r="I62" s="924"/>
    </row>
    <row r="63" spans="3:9" ht="30" hidden="1" customHeight="1">
      <c r="C63" s="925" t="s">
        <v>1580</v>
      </c>
      <c r="D63" s="926"/>
      <c r="E63" s="926"/>
      <c r="F63" s="926"/>
      <c r="G63" s="926"/>
      <c r="H63" s="926"/>
      <c r="I63" s="927"/>
    </row>
    <row r="64" spans="3:9" hidden="1"/>
    <row r="65" spans="3:9" hidden="1">
      <c r="C65" s="428" t="s">
        <v>1586</v>
      </c>
      <c r="D65" s="429" t="s">
        <v>259</v>
      </c>
      <c r="E65" s="429" t="s">
        <v>1574</v>
      </c>
      <c r="F65" s="429" t="s">
        <v>1575</v>
      </c>
      <c r="G65" s="429" t="s">
        <v>1576</v>
      </c>
      <c r="H65" s="429" t="s">
        <v>1577</v>
      </c>
      <c r="I65" s="429" t="s">
        <v>1578</v>
      </c>
    </row>
    <row r="66" spans="3:9" hidden="1">
      <c r="C66" s="430" t="s">
        <v>1581</v>
      </c>
      <c r="D66" s="430"/>
      <c r="E66" s="156" t="s">
        <v>240</v>
      </c>
      <c r="F66" s="431" t="s">
        <v>240</v>
      </c>
      <c r="G66" s="432"/>
      <c r="H66" s="451">
        <f>IF(OR(E66="Click to select",F66="Click to select"),0,IF(OR(E66="ANSP",E66="MET"),IF(OR(F66="Staff",F66="Other operating",F66="Exceptional items"),G66/(INDEX(Table_Inflation_IDX_ECZ[Inflation Index 2014 Actual],MATCH($O$4,Table_Inflation_IDX_ECZ[ER_CZ],0))/100),G66),G66))</f>
        <v>0</v>
      </c>
      <c r="I66" s="451">
        <f>IFERROR(H66/$E$23,0)</f>
        <v>0</v>
      </c>
    </row>
    <row r="67" spans="3:9" hidden="1">
      <c r="C67" s="922" t="s">
        <v>1579</v>
      </c>
      <c r="D67" s="923"/>
      <c r="E67" s="923"/>
      <c r="F67" s="923"/>
      <c r="G67" s="923"/>
      <c r="H67" s="923"/>
      <c r="I67" s="924"/>
    </row>
    <row r="68" spans="3:9" ht="30" hidden="1" customHeight="1">
      <c r="C68" s="925" t="s">
        <v>1580</v>
      </c>
      <c r="D68" s="926"/>
      <c r="E68" s="926"/>
      <c r="F68" s="926"/>
      <c r="G68" s="926"/>
      <c r="H68" s="926"/>
      <c r="I68" s="927"/>
    </row>
    <row r="69" spans="3:9" hidden="1"/>
    <row r="70" spans="3:9" hidden="1">
      <c r="C70" s="428" t="s">
        <v>1587</v>
      </c>
      <c r="D70" s="429" t="s">
        <v>259</v>
      </c>
      <c r="E70" s="429" t="s">
        <v>1574</v>
      </c>
      <c r="F70" s="429" t="s">
        <v>1575</v>
      </c>
      <c r="G70" s="429" t="s">
        <v>1576</v>
      </c>
      <c r="H70" s="429" t="s">
        <v>1577</v>
      </c>
      <c r="I70" s="429" t="s">
        <v>1578</v>
      </c>
    </row>
    <row r="71" spans="3:9" hidden="1">
      <c r="C71" s="430" t="s">
        <v>1581</v>
      </c>
      <c r="D71" s="430"/>
      <c r="E71" s="156" t="s">
        <v>240</v>
      </c>
      <c r="F71" s="431" t="s">
        <v>240</v>
      </c>
      <c r="G71" s="432"/>
      <c r="H71" s="451">
        <f>IF(OR(E71="Click to select",F71="Click to select"),0,IF(OR(E71="ANSP",E71="MET"),IF(OR(F71="Staff",F71="Other operating",F71="Exceptional items"),G71/(INDEX(Table_Inflation_IDX_ECZ[Inflation Index 2014 Actual],MATCH($O$4,Table_Inflation_IDX_ECZ[ER_CZ],0))/100),G71),G71))</f>
        <v>0</v>
      </c>
      <c r="I71" s="451">
        <f>IFERROR(H71/$E$23,0)</f>
        <v>0</v>
      </c>
    </row>
    <row r="72" spans="3:9" hidden="1">
      <c r="C72" s="922" t="s">
        <v>1579</v>
      </c>
      <c r="D72" s="923"/>
      <c r="E72" s="923"/>
      <c r="F72" s="923"/>
      <c r="G72" s="923"/>
      <c r="H72" s="923"/>
      <c r="I72" s="924"/>
    </row>
    <row r="73" spans="3:9" ht="30" hidden="1" customHeight="1">
      <c r="C73" s="925" t="s">
        <v>1580</v>
      </c>
      <c r="D73" s="926"/>
      <c r="E73" s="926"/>
      <c r="F73" s="926"/>
      <c r="G73" s="926"/>
      <c r="H73" s="926"/>
      <c r="I73" s="927"/>
    </row>
    <row r="74" spans="3:9" hidden="1"/>
    <row r="75" spans="3:9" hidden="1">
      <c r="C75" s="428" t="s">
        <v>1588</v>
      </c>
      <c r="D75" s="429" t="s">
        <v>259</v>
      </c>
      <c r="E75" s="429" t="s">
        <v>1574</v>
      </c>
      <c r="F75" s="429" t="s">
        <v>1575</v>
      </c>
      <c r="G75" s="429" t="s">
        <v>1576</v>
      </c>
      <c r="H75" s="429" t="s">
        <v>1577</v>
      </c>
      <c r="I75" s="429" t="s">
        <v>1578</v>
      </c>
    </row>
    <row r="76" spans="3:9" hidden="1">
      <c r="C76" s="430" t="s">
        <v>1581</v>
      </c>
      <c r="D76" s="430"/>
      <c r="E76" s="156" t="s">
        <v>240</v>
      </c>
      <c r="F76" s="431" t="s">
        <v>240</v>
      </c>
      <c r="G76" s="432"/>
      <c r="H76" s="451">
        <f>IF(OR(E76="Click to select",F76="Click to select"),0,IF(OR(E76="ANSP",E76="MET"),IF(OR(F76="Staff",F76="Other operating",F76="Exceptional items"),G76/(INDEX(Table_Inflation_IDX_ECZ[Inflation Index 2014 Actual],MATCH($O$4,Table_Inflation_IDX_ECZ[ER_CZ],0))/100),G76),G76))</f>
        <v>0</v>
      </c>
      <c r="I76" s="451">
        <f>IFERROR(H76/$E$23,0)</f>
        <v>0</v>
      </c>
    </row>
    <row r="77" spans="3:9" hidden="1">
      <c r="C77" s="922" t="s">
        <v>1579</v>
      </c>
      <c r="D77" s="923"/>
      <c r="E77" s="923"/>
      <c r="F77" s="923"/>
      <c r="G77" s="923"/>
      <c r="H77" s="923"/>
      <c r="I77" s="924"/>
    </row>
    <row r="78" spans="3:9" ht="30" hidden="1" customHeight="1">
      <c r="C78" s="925" t="s">
        <v>1580</v>
      </c>
      <c r="D78" s="926"/>
      <c r="E78" s="926"/>
      <c r="F78" s="926"/>
      <c r="G78" s="926"/>
      <c r="H78" s="926"/>
      <c r="I78" s="927"/>
    </row>
    <row r="79" spans="3:9" hidden="1"/>
    <row r="80" spans="3:9" hidden="1">
      <c r="C80" s="428" t="s">
        <v>1589</v>
      </c>
      <c r="D80" s="429" t="s">
        <v>259</v>
      </c>
      <c r="E80" s="429" t="s">
        <v>1574</v>
      </c>
      <c r="F80" s="429" t="s">
        <v>1575</v>
      </c>
      <c r="G80" s="429" t="s">
        <v>1576</v>
      </c>
      <c r="H80" s="429" t="s">
        <v>1577</v>
      </c>
      <c r="I80" s="429" t="s">
        <v>1578</v>
      </c>
    </row>
    <row r="81" spans="3:15" hidden="1">
      <c r="C81" s="430" t="s">
        <v>1581</v>
      </c>
      <c r="D81" s="430"/>
      <c r="E81" s="156" t="s">
        <v>240</v>
      </c>
      <c r="F81" s="431" t="s">
        <v>240</v>
      </c>
      <c r="G81" s="432"/>
      <c r="H81" s="451">
        <f>IF(OR(E81="Click to select",F81="Click to select"),0,IF(OR(E81="ANSP",E81="MET"),IF(OR(F81="Staff",F81="Other operating",F81="Exceptional items"),G81/(INDEX(Table_Inflation_IDX_ECZ[Inflation Index 2014 Actual],MATCH($O$4,Table_Inflation_IDX_ECZ[ER_CZ],0))/100),G81),G81))</f>
        <v>0</v>
      </c>
      <c r="I81" s="451">
        <f>IFERROR(H81/$E$23,0)</f>
        <v>0</v>
      </c>
    </row>
    <row r="82" spans="3:15" hidden="1">
      <c r="C82" s="922" t="s">
        <v>1579</v>
      </c>
      <c r="D82" s="923"/>
      <c r="E82" s="923"/>
      <c r="F82" s="923"/>
      <c r="G82" s="923"/>
      <c r="H82" s="923"/>
      <c r="I82" s="924"/>
    </row>
    <row r="83" spans="3:15" ht="30" hidden="1" customHeight="1">
      <c r="C83" s="925" t="s">
        <v>1580</v>
      </c>
      <c r="D83" s="926"/>
      <c r="E83" s="926"/>
      <c r="F83" s="926"/>
      <c r="G83" s="926"/>
      <c r="H83" s="926"/>
      <c r="I83" s="927"/>
    </row>
    <row r="84" spans="3:15" hidden="1"/>
    <row r="85" spans="3:15" hidden="1">
      <c r="C85" s="428" t="s">
        <v>1590</v>
      </c>
      <c r="D85" s="429" t="s">
        <v>259</v>
      </c>
      <c r="E85" s="429" t="s">
        <v>1574</v>
      </c>
      <c r="F85" s="429" t="s">
        <v>1575</v>
      </c>
      <c r="G85" s="429" t="s">
        <v>1576</v>
      </c>
      <c r="H85" s="429" t="s">
        <v>1577</v>
      </c>
      <c r="I85" s="429" t="s">
        <v>1578</v>
      </c>
    </row>
    <row r="86" spans="3:15" hidden="1">
      <c r="C86" s="430" t="s">
        <v>1581</v>
      </c>
      <c r="D86" s="430"/>
      <c r="E86" s="156" t="s">
        <v>240</v>
      </c>
      <c r="F86" s="431" t="s">
        <v>240</v>
      </c>
      <c r="G86" s="432"/>
      <c r="H86" s="451">
        <f>IF(OR(E86="Click to select",F86="Click to select"),0,IF(OR(E86="ANSP",E86="MET"),IF(OR(F86="Staff",F86="Other operating",F86="Exceptional items"),G86/(INDEX(Table_Inflation_IDX_ECZ[Inflation Index 2014 Actual],MATCH($O$4,Table_Inflation_IDX_ECZ[ER_CZ],0))/100),G86),G86))</f>
        <v>0</v>
      </c>
      <c r="I86" s="451">
        <f>IFERROR(H86/$E$23,0)</f>
        <v>0</v>
      </c>
    </row>
    <row r="87" spans="3:15" hidden="1">
      <c r="C87" s="922" t="s">
        <v>1579</v>
      </c>
      <c r="D87" s="923"/>
      <c r="E87" s="923"/>
      <c r="F87" s="923"/>
      <c r="G87" s="923"/>
      <c r="H87" s="923"/>
      <c r="I87" s="924"/>
    </row>
    <row r="88" spans="3:15" ht="30" hidden="1" customHeight="1">
      <c r="C88" s="925" t="s">
        <v>1580</v>
      </c>
      <c r="D88" s="926"/>
      <c r="E88" s="926"/>
      <c r="F88" s="926"/>
      <c r="G88" s="926"/>
      <c r="H88" s="926"/>
      <c r="I88" s="927"/>
    </row>
    <row r="89" spans="3:15" hidden="1"/>
    <row r="90" spans="3:15" hidden="1">
      <c r="C90" s="933" t="s">
        <v>1591</v>
      </c>
      <c r="D90" s="934"/>
      <c r="E90" s="934"/>
      <c r="F90" s="935"/>
      <c r="G90" s="433" t="s">
        <v>1576</v>
      </c>
      <c r="H90" s="433" t="s">
        <v>1577</v>
      </c>
      <c r="I90" s="433" t="s">
        <v>1578</v>
      </c>
      <c r="O90" s="462" t="str">
        <f>IFERROR(IF(ROUND(G91/100,0)&lt;&gt;ROUND(H30/100,0),"The total adjustment in nominal NC does not match the figure in section b)",""),"")</f>
        <v/>
      </c>
    </row>
    <row r="91" spans="3:15" hidden="1">
      <c r="C91" s="936"/>
      <c r="D91" s="937"/>
      <c r="E91" s="937"/>
      <c r="F91" s="938"/>
      <c r="G91" s="452" t="str">
        <f>IF(G86+G81+G76+G71+G66+G61+G56+G51+G46+G41=0,"-",G86+G81+G76+G71+G66+G61+G56+G51+G46+G41)</f>
        <v>-</v>
      </c>
      <c r="H91" s="452">
        <f>IFERROR(H86+H81+H76+H71+H66+H61+H56+H51+H46+H41,"-")</f>
        <v>0</v>
      </c>
      <c r="I91" s="452">
        <f>IFERROR(I86+I81+I76+I71+I66+I61+I56+I51+I46+I41,"-")</f>
        <v>0</v>
      </c>
      <c r="O91" s="462" t="str">
        <f>IFERROR(IF(ROUND(H91/100,0)&lt;&gt;ROUND(H31/100,0),"The total adjustment in real NC does not match the figure in section b)",""),"")</f>
        <v/>
      </c>
    </row>
    <row r="92" spans="3:15" hidden="1"/>
    <row r="93" spans="3:15" hidden="1"/>
    <row r="94" spans="3:15">
      <c r="C94" s="444" t="s">
        <v>1616</v>
      </c>
    </row>
    <row r="95" spans="3:15" ht="6.95" customHeight="1"/>
    <row r="96" spans="3:15">
      <c r="C96" s="939" t="s">
        <v>1595</v>
      </c>
      <c r="D96" s="941" t="s">
        <v>1596</v>
      </c>
      <c r="E96" s="942"/>
      <c r="F96" s="945" t="s">
        <v>1600</v>
      </c>
      <c r="G96" s="946"/>
      <c r="H96" s="947"/>
      <c r="I96" s="429" t="s">
        <v>1597</v>
      </c>
      <c r="O96" s="463" t="s">
        <v>1614</v>
      </c>
    </row>
    <row r="97" spans="3:15">
      <c r="C97" s="940"/>
      <c r="D97" s="958" t="str">
        <f>O97</f>
        <v>-</v>
      </c>
      <c r="E97" s="959"/>
      <c r="F97" s="960" t="str">
        <f>IFERROR(IF(D97=$P$4,"CRCO correction factor May 2019 (on 12 months)","Other"),"-")</f>
        <v>-</v>
      </c>
      <c r="G97" s="961"/>
      <c r="H97" s="962"/>
      <c r="I97" s="2"/>
      <c r="O97" s="464" t="str">
        <f>IFERROR(INDEX(Table_CRCO_Factor[May 2019 (based on 12 months)],MATCH($O$4,Table_CRCO_Factor[ECZ],0)),"-")</f>
        <v>-</v>
      </c>
    </row>
    <row r="98" spans="3:15" ht="30" hidden="1" customHeight="1">
      <c r="C98" s="925" t="s">
        <v>1580</v>
      </c>
      <c r="D98" s="926"/>
      <c r="E98" s="926"/>
      <c r="F98" s="926"/>
      <c r="G98" s="926"/>
      <c r="H98" s="926"/>
      <c r="I98" s="927"/>
    </row>
    <row r="100" spans="3:15">
      <c r="C100" s="428" t="s">
        <v>1598</v>
      </c>
      <c r="D100" s="317" t="s">
        <v>240</v>
      </c>
    </row>
    <row r="101" spans="3:15" hidden="1">
      <c r="C101" s="931" t="s">
        <v>1581</v>
      </c>
      <c r="D101" s="932"/>
      <c r="H101" s="429" t="s">
        <v>1597</v>
      </c>
      <c r="I101" s="2"/>
    </row>
    <row r="102" spans="3:15" hidden="1">
      <c r="C102" s="922" t="s">
        <v>1579</v>
      </c>
      <c r="D102" s="923"/>
      <c r="E102" s="923"/>
      <c r="F102" s="923"/>
      <c r="G102" s="923"/>
      <c r="H102" s="923"/>
      <c r="I102" s="924"/>
    </row>
    <row r="103" spans="3:15" hidden="1">
      <c r="C103" s="925" t="s">
        <v>1580</v>
      </c>
      <c r="D103" s="926"/>
      <c r="E103" s="926"/>
      <c r="F103" s="926"/>
      <c r="G103" s="926"/>
      <c r="H103" s="926"/>
      <c r="I103" s="927"/>
    </row>
    <row r="105" spans="3:15">
      <c r="C105" s="951" t="s">
        <v>1599</v>
      </c>
      <c r="D105" s="952"/>
      <c r="E105" s="952"/>
      <c r="F105" s="952"/>
      <c r="G105" s="952"/>
      <c r="H105" s="953"/>
      <c r="I105" s="442">
        <f>I101+I97</f>
        <v>0</v>
      </c>
      <c r="O105" s="462" t="str">
        <f>IFERROR(IF(ROUND(I105/100,0)&lt;&gt;ROUND(H33/100,0),"The service units total adjustment does not match the figure in section b)",""),"")</f>
        <v/>
      </c>
    </row>
    <row r="106" spans="3:15" hidden="1"/>
    <row r="108" spans="3:15">
      <c r="C108" s="444" t="s">
        <v>1617</v>
      </c>
      <c r="F108" s="920" t="s">
        <v>1572</v>
      </c>
      <c r="G108" s="920"/>
      <c r="H108" s="921" t="s">
        <v>240</v>
      </c>
      <c r="I108" s="921"/>
    </row>
    <row r="110" spans="3:15" hidden="1">
      <c r="C110" s="428" t="s">
        <v>1573</v>
      </c>
      <c r="D110" s="429" t="s">
        <v>259</v>
      </c>
      <c r="E110" s="429" t="s">
        <v>1574</v>
      </c>
      <c r="F110" s="429" t="s">
        <v>1575</v>
      </c>
      <c r="G110" s="429" t="s">
        <v>1576</v>
      </c>
      <c r="H110" s="429" t="s">
        <v>1577</v>
      </c>
      <c r="I110" s="429" t="s">
        <v>1578</v>
      </c>
    </row>
    <row r="111" spans="3:15" hidden="1">
      <c r="C111" s="430" t="s">
        <v>1581</v>
      </c>
      <c r="D111" s="430"/>
      <c r="E111" s="156" t="s">
        <v>240</v>
      </c>
      <c r="F111" s="431" t="s">
        <v>240</v>
      </c>
      <c r="G111" s="432"/>
      <c r="H111" s="434" t="str">
        <f>IF(OR(E111="Click to select",F111="Click to select"),"-",IF(OR(E111="ANSP",E111="MET"),IF(OR(F111="Staff",F111="Other operating",F111="Exceptional items"),G111/(INDEX(Table_Inflation_IDX_ECZ[Inflation Index 2019 Actual],MATCH($O$4,Table_Inflation_IDX_ECZ[ER_CZ],0))/100),G111),G111))</f>
        <v>-</v>
      </c>
      <c r="I111" s="434" t="str">
        <f>IFERROR(H111/$E$23,"-")</f>
        <v>-</v>
      </c>
    </row>
    <row r="112" spans="3:15" hidden="1">
      <c r="C112" s="922" t="s">
        <v>1579</v>
      </c>
      <c r="D112" s="923"/>
      <c r="E112" s="923"/>
      <c r="F112" s="923"/>
      <c r="G112" s="923"/>
      <c r="H112" s="923"/>
      <c r="I112" s="924"/>
    </row>
    <row r="113" spans="3:9" ht="30" hidden="1" customHeight="1">
      <c r="C113" s="925" t="s">
        <v>1580</v>
      </c>
      <c r="D113" s="926"/>
      <c r="E113" s="926"/>
      <c r="F113" s="926"/>
      <c r="G113" s="926"/>
      <c r="H113" s="926"/>
      <c r="I113" s="927"/>
    </row>
    <row r="114" spans="3:9" hidden="1"/>
    <row r="115" spans="3:9" hidden="1">
      <c r="C115" s="428" t="s">
        <v>1582</v>
      </c>
      <c r="D115" s="429" t="s">
        <v>259</v>
      </c>
      <c r="E115" s="429" t="s">
        <v>1574</v>
      </c>
      <c r="F115" s="429" t="s">
        <v>1575</v>
      </c>
      <c r="G115" s="429" t="s">
        <v>1576</v>
      </c>
      <c r="H115" s="429" t="s">
        <v>1577</v>
      </c>
      <c r="I115" s="429" t="s">
        <v>1578</v>
      </c>
    </row>
    <row r="116" spans="3:9" hidden="1">
      <c r="C116" s="430" t="s">
        <v>1581</v>
      </c>
      <c r="D116" s="430"/>
      <c r="E116" s="156" t="s">
        <v>240</v>
      </c>
      <c r="F116" s="431" t="s">
        <v>240</v>
      </c>
      <c r="G116" s="432"/>
      <c r="H116" s="434" t="str">
        <f>IF(OR(E116="Click to select",F116="Click to select"),"-",IF(OR(E116="ANSP",E116="MET"),IF(OR(F116="Staff",F116="Other operating",F116="Exceptional items"),G116/(INDEX(Table_Inflation_IDX_ECZ[Inflation Index 2019 Actual],MATCH($O$4,Table_Inflation_IDX_ECZ[ER_CZ],0))/100),G116),G116))</f>
        <v>-</v>
      </c>
      <c r="I116" s="434" t="str">
        <f>IFERROR(H116/$E$23,"-")</f>
        <v>-</v>
      </c>
    </row>
    <row r="117" spans="3:9" hidden="1">
      <c r="C117" s="922" t="s">
        <v>1579</v>
      </c>
      <c r="D117" s="923"/>
      <c r="E117" s="923"/>
      <c r="F117" s="923"/>
      <c r="G117" s="923"/>
      <c r="H117" s="923"/>
      <c r="I117" s="924"/>
    </row>
    <row r="118" spans="3:9" ht="30" hidden="1" customHeight="1">
      <c r="C118" s="925" t="s">
        <v>1580</v>
      </c>
      <c r="D118" s="926"/>
      <c r="E118" s="926"/>
      <c r="F118" s="926"/>
      <c r="G118" s="926"/>
      <c r="H118" s="926"/>
      <c r="I118" s="927"/>
    </row>
    <row r="119" spans="3:9" hidden="1"/>
    <row r="120" spans="3:9" hidden="1">
      <c r="C120" s="428" t="s">
        <v>1583</v>
      </c>
      <c r="D120" s="429" t="s">
        <v>259</v>
      </c>
      <c r="E120" s="429" t="s">
        <v>1574</v>
      </c>
      <c r="F120" s="429" t="s">
        <v>1575</v>
      </c>
      <c r="G120" s="429" t="s">
        <v>1576</v>
      </c>
      <c r="H120" s="429" t="s">
        <v>1577</v>
      </c>
      <c r="I120" s="429" t="s">
        <v>1578</v>
      </c>
    </row>
    <row r="121" spans="3:9" hidden="1">
      <c r="C121" s="430" t="s">
        <v>1581</v>
      </c>
      <c r="D121" s="430"/>
      <c r="E121" s="156" t="s">
        <v>240</v>
      </c>
      <c r="F121" s="431" t="s">
        <v>240</v>
      </c>
      <c r="G121" s="432"/>
      <c r="H121" s="434" t="str">
        <f>IF(OR(E121="Click to select",F121="Click to select"),"-",IF(OR(E121="ANSP",E121="MET"),IF(OR(F121="Staff",F121="Other operating",F121="Exceptional items"),G121/(INDEX(Table_Inflation_IDX_ECZ[Inflation Index 2019 Actual],MATCH($O$4,Table_Inflation_IDX_ECZ[ER_CZ],0))/100),G121),G121))</f>
        <v>-</v>
      </c>
      <c r="I121" s="434" t="str">
        <f>IFERROR(H121/$E$23,"-")</f>
        <v>-</v>
      </c>
    </row>
    <row r="122" spans="3:9" hidden="1">
      <c r="C122" s="922" t="s">
        <v>1579</v>
      </c>
      <c r="D122" s="923"/>
      <c r="E122" s="923"/>
      <c r="F122" s="923"/>
      <c r="G122" s="923"/>
      <c r="H122" s="923"/>
      <c r="I122" s="924"/>
    </row>
    <row r="123" spans="3:9" ht="30" hidden="1" customHeight="1">
      <c r="C123" s="925" t="s">
        <v>1580</v>
      </c>
      <c r="D123" s="926"/>
      <c r="E123" s="926"/>
      <c r="F123" s="926"/>
      <c r="G123" s="926"/>
      <c r="H123" s="926"/>
      <c r="I123" s="927"/>
    </row>
    <row r="124" spans="3:9" hidden="1"/>
    <row r="125" spans="3:9" hidden="1">
      <c r="C125" s="428" t="s">
        <v>1584</v>
      </c>
      <c r="D125" s="429" t="s">
        <v>259</v>
      </c>
      <c r="E125" s="429" t="s">
        <v>1574</v>
      </c>
      <c r="F125" s="429" t="s">
        <v>1575</v>
      </c>
      <c r="G125" s="429" t="s">
        <v>1576</v>
      </c>
      <c r="H125" s="429" t="s">
        <v>1577</v>
      </c>
      <c r="I125" s="429" t="s">
        <v>1578</v>
      </c>
    </row>
    <row r="126" spans="3:9" hidden="1">
      <c r="C126" s="430" t="s">
        <v>1581</v>
      </c>
      <c r="D126" s="430"/>
      <c r="E126" s="156" t="s">
        <v>240</v>
      </c>
      <c r="F126" s="431" t="s">
        <v>240</v>
      </c>
      <c r="G126" s="432"/>
      <c r="H126" s="434" t="str">
        <f>IF(OR(E126="Click to select",F126="Click to select"),"-",IF(OR(E126="ANSP",E126="MET"),IF(OR(F126="Staff",F126="Other operating",F126="Exceptional items"),G126/(INDEX(Table_Inflation_IDX_ECZ[Inflation Index 2019 Actual],MATCH($O$4,Table_Inflation_IDX_ECZ[ER_CZ],0))/100),G126),G126))</f>
        <v>-</v>
      </c>
      <c r="I126" s="434" t="str">
        <f>IFERROR(H126/$E$23,"-")</f>
        <v>-</v>
      </c>
    </row>
    <row r="127" spans="3:9" hidden="1">
      <c r="C127" s="922" t="s">
        <v>1579</v>
      </c>
      <c r="D127" s="923"/>
      <c r="E127" s="923"/>
      <c r="F127" s="923"/>
      <c r="G127" s="923"/>
      <c r="H127" s="923"/>
      <c r="I127" s="924"/>
    </row>
    <row r="128" spans="3:9" ht="30" hidden="1" customHeight="1">
      <c r="C128" s="925" t="s">
        <v>1580</v>
      </c>
      <c r="D128" s="926"/>
      <c r="E128" s="926"/>
      <c r="F128" s="926"/>
      <c r="G128" s="926"/>
      <c r="H128" s="926"/>
      <c r="I128" s="927"/>
    </row>
    <row r="129" spans="3:9" hidden="1"/>
    <row r="130" spans="3:9" hidden="1">
      <c r="C130" s="428" t="s">
        <v>1585</v>
      </c>
      <c r="D130" s="429" t="s">
        <v>259</v>
      </c>
      <c r="E130" s="429" t="s">
        <v>1574</v>
      </c>
      <c r="F130" s="429" t="s">
        <v>1575</v>
      </c>
      <c r="G130" s="429" t="s">
        <v>1576</v>
      </c>
      <c r="H130" s="429" t="s">
        <v>1577</v>
      </c>
      <c r="I130" s="429" t="s">
        <v>1578</v>
      </c>
    </row>
    <row r="131" spans="3:9" hidden="1">
      <c r="C131" s="430" t="s">
        <v>1581</v>
      </c>
      <c r="D131" s="430"/>
      <c r="E131" s="156" t="s">
        <v>240</v>
      </c>
      <c r="F131" s="431" t="s">
        <v>240</v>
      </c>
      <c r="G131" s="432"/>
      <c r="H131" s="434" t="str">
        <f>IF(OR(E131="Click to select",F131="Click to select"),"-",IF(OR(E131="ANSP",E131="MET"),IF(OR(F131="Staff",F131="Other operating",F131="Exceptional items"),G131/(INDEX(Table_Inflation_IDX_ECZ[Inflation Index 2019 Actual],MATCH($O$4,Table_Inflation_IDX_ECZ[ER_CZ],0))/100),G131),G131))</f>
        <v>-</v>
      </c>
      <c r="I131" s="434" t="str">
        <f>IFERROR(H131/$E$23,"-")</f>
        <v>-</v>
      </c>
    </row>
    <row r="132" spans="3:9" hidden="1">
      <c r="C132" s="922" t="s">
        <v>1579</v>
      </c>
      <c r="D132" s="923"/>
      <c r="E132" s="923"/>
      <c r="F132" s="923"/>
      <c r="G132" s="923"/>
      <c r="H132" s="923"/>
      <c r="I132" s="924"/>
    </row>
    <row r="133" spans="3:9" ht="30" hidden="1" customHeight="1">
      <c r="C133" s="925" t="s">
        <v>1580</v>
      </c>
      <c r="D133" s="926"/>
      <c r="E133" s="926"/>
      <c r="F133" s="926"/>
      <c r="G133" s="926"/>
      <c r="H133" s="926"/>
      <c r="I133" s="927"/>
    </row>
    <row r="134" spans="3:9" hidden="1"/>
    <row r="135" spans="3:9" hidden="1">
      <c r="C135" s="428" t="s">
        <v>1586</v>
      </c>
      <c r="D135" s="429" t="s">
        <v>259</v>
      </c>
      <c r="E135" s="429" t="s">
        <v>1574</v>
      </c>
      <c r="F135" s="429" t="s">
        <v>1575</v>
      </c>
      <c r="G135" s="429" t="s">
        <v>1576</v>
      </c>
      <c r="H135" s="429" t="s">
        <v>1577</v>
      </c>
      <c r="I135" s="429" t="s">
        <v>1578</v>
      </c>
    </row>
    <row r="136" spans="3:9" hidden="1">
      <c r="C136" s="430" t="s">
        <v>1581</v>
      </c>
      <c r="D136" s="430"/>
      <c r="E136" s="156" t="s">
        <v>240</v>
      </c>
      <c r="F136" s="431" t="s">
        <v>240</v>
      </c>
      <c r="G136" s="432"/>
      <c r="H136" s="434" t="str">
        <f>IF(OR(E136="Click to select",F136="Click to select"),"-",IF(OR(E136="ANSP",E136="MET"),IF(OR(F136="Staff",F136="Other operating",F136="Exceptional items"),G136/(INDEX(Table_Inflation_IDX_ECZ[Inflation Index 2019 Actual],MATCH($O$4,Table_Inflation_IDX_ECZ[ER_CZ],0))/100),G136),G136))</f>
        <v>-</v>
      </c>
      <c r="I136" s="434" t="str">
        <f>IFERROR(H136/$E$23,"-")</f>
        <v>-</v>
      </c>
    </row>
    <row r="137" spans="3:9" hidden="1">
      <c r="C137" s="922" t="s">
        <v>1579</v>
      </c>
      <c r="D137" s="923"/>
      <c r="E137" s="923"/>
      <c r="F137" s="923"/>
      <c r="G137" s="923"/>
      <c r="H137" s="923"/>
      <c r="I137" s="924"/>
    </row>
    <row r="138" spans="3:9" ht="30" hidden="1" customHeight="1">
      <c r="C138" s="925" t="s">
        <v>1580</v>
      </c>
      <c r="D138" s="926"/>
      <c r="E138" s="926"/>
      <c r="F138" s="926"/>
      <c r="G138" s="926"/>
      <c r="H138" s="926"/>
      <c r="I138" s="927"/>
    </row>
    <row r="139" spans="3:9" hidden="1"/>
    <row r="140" spans="3:9" hidden="1">
      <c r="C140" s="428" t="s">
        <v>1587</v>
      </c>
      <c r="D140" s="429" t="s">
        <v>259</v>
      </c>
      <c r="E140" s="429" t="s">
        <v>1574</v>
      </c>
      <c r="F140" s="429" t="s">
        <v>1575</v>
      </c>
      <c r="G140" s="429" t="s">
        <v>1576</v>
      </c>
      <c r="H140" s="429" t="s">
        <v>1577</v>
      </c>
      <c r="I140" s="429" t="s">
        <v>1578</v>
      </c>
    </row>
    <row r="141" spans="3:9" hidden="1">
      <c r="C141" s="430" t="s">
        <v>1581</v>
      </c>
      <c r="D141" s="430"/>
      <c r="E141" s="156" t="s">
        <v>240</v>
      </c>
      <c r="F141" s="431" t="s">
        <v>240</v>
      </c>
      <c r="G141" s="432"/>
      <c r="H141" s="434" t="str">
        <f>IF(OR(E141="Click to select",F141="Click to select"),"-",IF(OR(E141="ANSP",E141="MET"),IF(OR(F141="Staff",F141="Other operating",F141="Exceptional items"),G141/(INDEX(Table_Inflation_IDX_ECZ[Inflation Index 2019 Actual],MATCH($O$4,Table_Inflation_IDX_ECZ[ER_CZ],0))/100),G141),G141))</f>
        <v>-</v>
      </c>
      <c r="I141" s="434" t="str">
        <f>IFERROR(H141/$E$23,"-")</f>
        <v>-</v>
      </c>
    </row>
    <row r="142" spans="3:9" hidden="1">
      <c r="C142" s="922" t="s">
        <v>1579</v>
      </c>
      <c r="D142" s="923"/>
      <c r="E142" s="923"/>
      <c r="F142" s="923"/>
      <c r="G142" s="923"/>
      <c r="H142" s="923"/>
      <c r="I142" s="924"/>
    </row>
    <row r="143" spans="3:9" ht="30" hidden="1" customHeight="1">
      <c r="C143" s="925" t="s">
        <v>1580</v>
      </c>
      <c r="D143" s="926"/>
      <c r="E143" s="926"/>
      <c r="F143" s="926"/>
      <c r="G143" s="926"/>
      <c r="H143" s="926"/>
      <c r="I143" s="927"/>
    </row>
    <row r="144" spans="3:9" hidden="1"/>
    <row r="145" spans="3:15" hidden="1">
      <c r="C145" s="428" t="s">
        <v>1588</v>
      </c>
      <c r="D145" s="429" t="s">
        <v>259</v>
      </c>
      <c r="E145" s="429" t="s">
        <v>1574</v>
      </c>
      <c r="F145" s="429" t="s">
        <v>1575</v>
      </c>
      <c r="G145" s="429" t="s">
        <v>1576</v>
      </c>
      <c r="H145" s="429" t="s">
        <v>1577</v>
      </c>
      <c r="I145" s="429" t="s">
        <v>1578</v>
      </c>
    </row>
    <row r="146" spans="3:15" hidden="1">
      <c r="C146" s="430" t="s">
        <v>1581</v>
      </c>
      <c r="D146" s="430"/>
      <c r="E146" s="156" t="s">
        <v>240</v>
      </c>
      <c r="F146" s="431" t="s">
        <v>240</v>
      </c>
      <c r="G146" s="432"/>
      <c r="H146" s="434" t="str">
        <f>IF(OR(E146="Click to select",F146="Click to select"),"-",IF(OR(E146="ANSP",E146="MET"),IF(OR(F146="Staff",F146="Other operating",F146="Exceptional items"),G146/(INDEX(Table_Inflation_IDX_ECZ[Inflation Index 2019 Actual],MATCH($O$4,Table_Inflation_IDX_ECZ[ER_CZ],0))/100),G146),G146))</f>
        <v>-</v>
      </c>
      <c r="I146" s="434" t="str">
        <f>IFERROR(H146/$E$23,"-")</f>
        <v>-</v>
      </c>
    </row>
    <row r="147" spans="3:15" hidden="1">
      <c r="C147" s="922" t="s">
        <v>1579</v>
      </c>
      <c r="D147" s="923"/>
      <c r="E147" s="923"/>
      <c r="F147" s="923"/>
      <c r="G147" s="923"/>
      <c r="H147" s="923"/>
      <c r="I147" s="924"/>
    </row>
    <row r="148" spans="3:15" ht="30" hidden="1" customHeight="1">
      <c r="C148" s="925" t="s">
        <v>1580</v>
      </c>
      <c r="D148" s="926"/>
      <c r="E148" s="926"/>
      <c r="F148" s="926"/>
      <c r="G148" s="926"/>
      <c r="H148" s="926"/>
      <c r="I148" s="927"/>
    </row>
    <row r="149" spans="3:15" hidden="1"/>
    <row r="150" spans="3:15" hidden="1">
      <c r="C150" s="428" t="s">
        <v>1589</v>
      </c>
      <c r="D150" s="429" t="s">
        <v>259</v>
      </c>
      <c r="E150" s="429" t="s">
        <v>1574</v>
      </c>
      <c r="F150" s="429" t="s">
        <v>1575</v>
      </c>
      <c r="G150" s="429" t="s">
        <v>1576</v>
      </c>
      <c r="H150" s="429" t="s">
        <v>1577</v>
      </c>
      <c r="I150" s="429" t="s">
        <v>1578</v>
      </c>
    </row>
    <row r="151" spans="3:15" hidden="1">
      <c r="C151" s="430" t="s">
        <v>1581</v>
      </c>
      <c r="D151" s="430"/>
      <c r="E151" s="156" t="s">
        <v>240</v>
      </c>
      <c r="F151" s="431" t="s">
        <v>240</v>
      </c>
      <c r="G151" s="432"/>
      <c r="H151" s="434" t="str">
        <f>IF(OR(E151="Click to select",F151="Click to select"),"-",IF(OR(E151="ANSP",E151="MET"),IF(OR(F151="Staff",F151="Other operating",F151="Exceptional items"),G151/(INDEX(Table_Inflation_IDX_ECZ[Inflation Index 2019 Actual],MATCH($O$4,Table_Inflation_IDX_ECZ[ER_CZ],0))/100),G151),G151))</f>
        <v>-</v>
      </c>
      <c r="I151" s="434" t="str">
        <f>IFERROR(H151/$E$23,"-")</f>
        <v>-</v>
      </c>
    </row>
    <row r="152" spans="3:15" hidden="1">
      <c r="C152" s="922" t="s">
        <v>1579</v>
      </c>
      <c r="D152" s="923"/>
      <c r="E152" s="923"/>
      <c r="F152" s="923"/>
      <c r="G152" s="923"/>
      <c r="H152" s="923"/>
      <c r="I152" s="924"/>
    </row>
    <row r="153" spans="3:15" ht="30" hidden="1" customHeight="1">
      <c r="C153" s="925" t="s">
        <v>1580</v>
      </c>
      <c r="D153" s="926"/>
      <c r="E153" s="926"/>
      <c r="F153" s="926"/>
      <c r="G153" s="926"/>
      <c r="H153" s="926"/>
      <c r="I153" s="927"/>
    </row>
    <row r="154" spans="3:15" hidden="1"/>
    <row r="155" spans="3:15" hidden="1">
      <c r="C155" s="428" t="s">
        <v>1590</v>
      </c>
      <c r="D155" s="429" t="s">
        <v>259</v>
      </c>
      <c r="E155" s="429" t="s">
        <v>1574</v>
      </c>
      <c r="F155" s="429" t="s">
        <v>1575</v>
      </c>
      <c r="G155" s="429" t="s">
        <v>1576</v>
      </c>
      <c r="H155" s="429" t="s">
        <v>1577</v>
      </c>
      <c r="I155" s="429" t="s">
        <v>1578</v>
      </c>
    </row>
    <row r="156" spans="3:15" hidden="1">
      <c r="C156" s="430" t="s">
        <v>1581</v>
      </c>
      <c r="D156" s="430"/>
      <c r="E156" s="156" t="s">
        <v>240</v>
      </c>
      <c r="F156" s="431" t="s">
        <v>240</v>
      </c>
      <c r="G156" s="432"/>
      <c r="H156" s="434" t="str">
        <f>IF(OR(E156="Click to select",F156="Click to select"),"-",IF(OR(E156="ANSP",E156="MET"),IF(OR(F156="Staff",F156="Other operating",F156="Exceptional items"),G156/(INDEX(Table_Inflation_IDX_ECZ[Inflation Index 2019 Actual],MATCH($O$4,Table_Inflation_IDX_ECZ[ER_CZ],0))/100),G156),G156))</f>
        <v>-</v>
      </c>
      <c r="I156" s="434" t="str">
        <f>IFERROR(H156/$E$23,"-")</f>
        <v>-</v>
      </c>
    </row>
    <row r="157" spans="3:15" hidden="1">
      <c r="C157" s="922" t="s">
        <v>1579</v>
      </c>
      <c r="D157" s="923"/>
      <c r="E157" s="923"/>
      <c r="F157" s="923"/>
      <c r="G157" s="923"/>
      <c r="H157" s="923"/>
      <c r="I157" s="924"/>
    </row>
    <row r="158" spans="3:15" ht="30" hidden="1" customHeight="1">
      <c r="C158" s="925" t="s">
        <v>1580</v>
      </c>
      <c r="D158" s="926"/>
      <c r="E158" s="926"/>
      <c r="F158" s="926"/>
      <c r="G158" s="926"/>
      <c r="H158" s="926"/>
      <c r="I158" s="927"/>
    </row>
    <row r="159" spans="3:15" hidden="1"/>
    <row r="160" spans="3:15" hidden="1">
      <c r="C160" s="933" t="s">
        <v>1618</v>
      </c>
      <c r="D160" s="934"/>
      <c r="E160" s="934"/>
      <c r="F160" s="935"/>
      <c r="G160" s="433" t="s">
        <v>1576</v>
      </c>
      <c r="H160" s="433" t="s">
        <v>1577</v>
      </c>
      <c r="I160" s="433" t="s">
        <v>1578</v>
      </c>
      <c r="O160" s="462" t="str">
        <f>IFERROR(IF(ROUND(G161/100,0)&lt;&gt;ROUND(I30/100,0),"The total adjustment in nominal NC does not match the figure in section b)",""),"")</f>
        <v/>
      </c>
    </row>
    <row r="161" spans="3:15" hidden="1">
      <c r="C161" s="936"/>
      <c r="D161" s="937"/>
      <c r="E161" s="937"/>
      <c r="F161" s="938"/>
      <c r="G161" s="435" t="str">
        <f>IF(G156+G151+G146+G141+G136+G131+G126+G121+G116+G111=0,"-",G156+G151+G146+G141+G136+G131+G126+G121+G116+G111)</f>
        <v>-</v>
      </c>
      <c r="H161" s="435" t="str">
        <f>IFERROR(H156+H151+H146+H141+H136+H131+H126+H121+H116+H111,"-")</f>
        <v>-</v>
      </c>
      <c r="I161" s="435" t="str">
        <f>IFERROR(I156+I151+I146+I141+I136+I131+I126+I121+I116+I111,"-")</f>
        <v>-</v>
      </c>
      <c r="O161" s="462" t="str">
        <f>IFERROR(IF(ROUND(H161/100,0)&lt;&gt;ROUND(I31/100,0),"The total adjustment in real NC does not match the figure in section b)",""),"")</f>
        <v/>
      </c>
    </row>
    <row r="162" spans="3:15" hidden="1"/>
    <row r="164" spans="3:15">
      <c r="C164" s="444" t="s">
        <v>1620</v>
      </c>
    </row>
    <row r="165" spans="3:15" ht="6.95" customHeight="1"/>
    <row r="166" spans="3:15">
      <c r="C166" s="939" t="s">
        <v>1595</v>
      </c>
      <c r="D166" s="941" t="s">
        <v>1596</v>
      </c>
      <c r="E166" s="942"/>
      <c r="F166" s="945" t="s">
        <v>1600</v>
      </c>
      <c r="G166" s="946"/>
      <c r="H166" s="947"/>
      <c r="I166" s="429" t="s">
        <v>1597</v>
      </c>
      <c r="O166" s="463" t="s">
        <v>1614</v>
      </c>
    </row>
    <row r="167" spans="3:15">
      <c r="C167" s="940"/>
      <c r="D167" s="958" t="str">
        <f>O167</f>
        <v>-</v>
      </c>
      <c r="E167" s="959"/>
      <c r="F167" s="960" t="str">
        <f>IFERROR(IF(D167=$P$4,"CRCO correction factor May 2019 (on 12 months)","Other"),"-")</f>
        <v>-</v>
      </c>
      <c r="G167" s="961"/>
      <c r="H167" s="962"/>
      <c r="I167" s="2"/>
      <c r="O167" s="464" t="str">
        <f>IFERROR(INDEX(Table_CRCO_Factor[May 2019 (based on 12 months)],MATCH($O$4,Table_CRCO_Factor[ECZ],0)),"-")</f>
        <v>-</v>
      </c>
    </row>
    <row r="168" spans="3:15" ht="30" hidden="1" customHeight="1">
      <c r="C168" s="925" t="s">
        <v>1580</v>
      </c>
      <c r="D168" s="926"/>
      <c r="E168" s="926"/>
      <c r="F168" s="926"/>
      <c r="G168" s="926"/>
      <c r="H168" s="926"/>
      <c r="I168" s="927"/>
    </row>
    <row r="170" spans="3:15">
      <c r="C170" s="428" t="s">
        <v>1619</v>
      </c>
      <c r="D170" s="317" t="s">
        <v>240</v>
      </c>
    </row>
    <row r="171" spans="3:15" hidden="1">
      <c r="C171" s="931" t="s">
        <v>1581</v>
      </c>
      <c r="D171" s="932"/>
      <c r="H171" s="429" t="s">
        <v>1597</v>
      </c>
      <c r="I171" s="2"/>
    </row>
    <row r="172" spans="3:15" hidden="1">
      <c r="C172" s="922" t="s">
        <v>1579</v>
      </c>
      <c r="D172" s="923"/>
      <c r="E172" s="923"/>
      <c r="F172" s="923"/>
      <c r="G172" s="923"/>
      <c r="H172" s="923"/>
      <c r="I172" s="924"/>
    </row>
    <row r="173" spans="3:15" hidden="1">
      <c r="C173" s="925" t="s">
        <v>1580</v>
      </c>
      <c r="D173" s="926"/>
      <c r="E173" s="926"/>
      <c r="F173" s="926"/>
      <c r="G173" s="926"/>
      <c r="H173" s="926"/>
      <c r="I173" s="927"/>
    </row>
    <row r="175" spans="3:15">
      <c r="C175" s="951" t="s">
        <v>1621</v>
      </c>
      <c r="D175" s="952"/>
      <c r="E175" s="952"/>
      <c r="F175" s="952"/>
      <c r="G175" s="952"/>
      <c r="H175" s="953"/>
      <c r="I175" s="442">
        <f>I171+I167</f>
        <v>0</v>
      </c>
      <c r="O175" s="462" t="str">
        <f>IFERROR(IF(ROUND(I175/100,0)&lt;&gt;ROUND(I33/100,0),"The service units total adjustment does not match the figure in section b)",""),"")</f>
        <v/>
      </c>
    </row>
    <row r="176" spans="3:15" ht="9" customHeight="1"/>
    <row r="177" spans="3:9" ht="9" customHeight="1"/>
    <row r="178" spans="3:9">
      <c r="C178" s="76" t="s">
        <v>1726</v>
      </c>
    </row>
    <row r="179" spans="3:9" ht="7.5" customHeight="1"/>
    <row r="180" spans="3:9" ht="60" customHeight="1">
      <c r="C180" s="979"/>
      <c r="D180" s="980"/>
      <c r="E180" s="980"/>
      <c r="F180" s="980"/>
      <c r="G180" s="980"/>
      <c r="H180" s="980"/>
      <c r="I180" s="981"/>
    </row>
    <row r="181" spans="3:9">
      <c r="C181" s="300" t="s">
        <v>1424</v>
      </c>
      <c r="D181" s="152"/>
      <c r="E181" s="152"/>
      <c r="F181" s="152"/>
      <c r="G181" s="152"/>
      <c r="H181" s="152"/>
      <c r="I181" s="152"/>
    </row>
    <row r="183" spans="3:9">
      <c r="C183" s="76" t="s">
        <v>1727</v>
      </c>
    </row>
    <row r="184" spans="3:9">
      <c r="C184" s="76"/>
    </row>
    <row r="185" spans="3:9">
      <c r="C185" s="951" t="s">
        <v>1622</v>
      </c>
      <c r="D185" s="953"/>
      <c r="E185" s="317" t="s">
        <v>240</v>
      </c>
      <c r="F185" s="941" t="str">
        <f>IF(E185="yes","Detailed in part 3.4.6 of the performance plan","")</f>
        <v/>
      </c>
      <c r="G185" s="982"/>
      <c r="H185" s="982"/>
      <c r="I185" s="942"/>
    </row>
    <row r="186" spans="3:9">
      <c r="C186" s="951" t="s">
        <v>1623</v>
      </c>
      <c r="D186" s="953"/>
      <c r="E186" s="317" t="s">
        <v>240</v>
      </c>
      <c r="F186" s="941" t="str">
        <f>IF(E186="yes","Detailed in part 3.4.5 of the performance plan","")</f>
        <v/>
      </c>
      <c r="G186" s="982"/>
      <c r="H186" s="982"/>
      <c r="I186" s="942"/>
    </row>
    <row r="188" spans="3:9">
      <c r="C188" s="76"/>
    </row>
    <row r="189" spans="3:9">
      <c r="C189" s="76" t="s">
        <v>1728</v>
      </c>
    </row>
    <row r="190" spans="3:9" ht="7.5" customHeight="1"/>
    <row r="191" spans="3:9" ht="60" customHeight="1">
      <c r="C191" s="979"/>
      <c r="D191" s="980"/>
      <c r="E191" s="980"/>
      <c r="F191" s="980"/>
      <c r="G191" s="980"/>
      <c r="H191" s="980"/>
      <c r="I191" s="981"/>
    </row>
    <row r="192" spans="3:9">
      <c r="C192" s="300" t="s">
        <v>1424</v>
      </c>
      <c r="D192" s="152"/>
      <c r="E192" s="152"/>
      <c r="F192" s="152"/>
      <c r="G192" s="152"/>
      <c r="H192" s="152"/>
      <c r="I192" s="152"/>
    </row>
    <row r="194" spans="3:12" ht="30" customHeight="1">
      <c r="C194" s="969" t="s">
        <v>1729</v>
      </c>
      <c r="D194" s="969"/>
      <c r="E194" s="969"/>
      <c r="F194" s="969"/>
      <c r="G194" s="969"/>
      <c r="H194" s="969"/>
      <c r="I194" s="969"/>
      <c r="J194" s="461"/>
      <c r="K194" s="461"/>
      <c r="L194" s="461"/>
    </row>
    <row r="195" spans="3:12" ht="7.5" customHeight="1"/>
    <row r="196" spans="3:12" ht="60" customHeight="1">
      <c r="C196" s="979"/>
      <c r="D196" s="980"/>
      <c r="E196" s="980"/>
      <c r="F196" s="980"/>
      <c r="G196" s="980"/>
      <c r="H196" s="980"/>
      <c r="I196" s="981"/>
    </row>
    <row r="197" spans="3:12">
      <c r="C197" s="300" t="s">
        <v>1626</v>
      </c>
      <c r="D197" s="152"/>
      <c r="E197" s="152"/>
      <c r="F197" s="152"/>
      <c r="G197" s="152"/>
      <c r="H197" s="152"/>
      <c r="I197" s="152"/>
    </row>
  </sheetData>
  <mergeCells count="74">
    <mergeCell ref="C58:I58"/>
    <mergeCell ref="F38:G38"/>
    <mergeCell ref="H38:I38"/>
    <mergeCell ref="C42:I42"/>
    <mergeCell ref="C43:I43"/>
    <mergeCell ref="C47:I47"/>
    <mergeCell ref="C48:I48"/>
    <mergeCell ref="C52:I52"/>
    <mergeCell ref="C53:I53"/>
    <mergeCell ref="C57:I57"/>
    <mergeCell ref="C88:I88"/>
    <mergeCell ref="C62:I62"/>
    <mergeCell ref="C63:I63"/>
    <mergeCell ref="C67:I67"/>
    <mergeCell ref="C68:I68"/>
    <mergeCell ref="C72:I72"/>
    <mergeCell ref="C73:I73"/>
    <mergeCell ref="C77:I77"/>
    <mergeCell ref="C78:I78"/>
    <mergeCell ref="C82:I82"/>
    <mergeCell ref="C83:I83"/>
    <mergeCell ref="C87:I87"/>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80:I180"/>
    <mergeCell ref="C153:I153"/>
    <mergeCell ref="C127:I127"/>
    <mergeCell ref="C128:I128"/>
    <mergeCell ref="C132:I132"/>
    <mergeCell ref="C133:I133"/>
    <mergeCell ref="C137:I137"/>
    <mergeCell ref="C138:I138"/>
    <mergeCell ref="C142:I142"/>
    <mergeCell ref="C143:I143"/>
    <mergeCell ref="C147:I147"/>
    <mergeCell ref="C148:I148"/>
    <mergeCell ref="C152:I152"/>
    <mergeCell ref="C168:I168"/>
    <mergeCell ref="C171:D171"/>
    <mergeCell ref="C172:I172"/>
    <mergeCell ref="C173:I173"/>
    <mergeCell ref="C175:H175"/>
    <mergeCell ref="C157:I157"/>
    <mergeCell ref="C158:I158"/>
    <mergeCell ref="C160:F161"/>
    <mergeCell ref="C166:C167"/>
    <mergeCell ref="D166:E166"/>
    <mergeCell ref="F166:H166"/>
    <mergeCell ref="D167:E167"/>
    <mergeCell ref="F167:H167"/>
    <mergeCell ref="C194:I194"/>
    <mergeCell ref="C196:I196"/>
    <mergeCell ref="C191:I191"/>
    <mergeCell ref="C185:D185"/>
    <mergeCell ref="F185:I185"/>
    <mergeCell ref="C186:D186"/>
    <mergeCell ref="F186:I186"/>
  </mergeCells>
  <conditionalFormatting sqref="H38">
    <cfRule type="expression" dxfId="557" priority="48">
      <formula>$A$2="PRINT"</formula>
    </cfRule>
  </conditionalFormatting>
  <conditionalFormatting sqref="E41">
    <cfRule type="expression" dxfId="556" priority="47">
      <formula>$A$2="PRINT"</formula>
    </cfRule>
  </conditionalFormatting>
  <conditionalFormatting sqref="F41">
    <cfRule type="expression" dxfId="555" priority="46">
      <formula>$A$2="PRINT"</formula>
    </cfRule>
  </conditionalFormatting>
  <conditionalFormatting sqref="E46">
    <cfRule type="expression" dxfId="554" priority="45">
      <formula>$A$2="PRINT"</formula>
    </cfRule>
  </conditionalFormatting>
  <conditionalFormatting sqref="E71">
    <cfRule type="expression" dxfId="553" priority="40">
      <formula>$A$2="PRINT"</formula>
    </cfRule>
  </conditionalFormatting>
  <conditionalFormatting sqref="E51">
    <cfRule type="expression" dxfId="552" priority="44">
      <formula>$A$2="PRINT"</formula>
    </cfRule>
  </conditionalFormatting>
  <conditionalFormatting sqref="E56">
    <cfRule type="expression" dxfId="551" priority="43">
      <formula>$A$2="PRINT"</formula>
    </cfRule>
  </conditionalFormatting>
  <conditionalFormatting sqref="E76">
    <cfRule type="expression" dxfId="550" priority="39">
      <formula>$A$2="PRINT"</formula>
    </cfRule>
  </conditionalFormatting>
  <conditionalFormatting sqref="E61">
    <cfRule type="expression" dxfId="549" priority="42">
      <formula>$A$2="PRINT"</formula>
    </cfRule>
  </conditionalFormatting>
  <conditionalFormatting sqref="E66">
    <cfRule type="expression" dxfId="548" priority="41">
      <formula>$A$2="PRINT"</formula>
    </cfRule>
  </conditionalFormatting>
  <conditionalFormatting sqref="E81">
    <cfRule type="expression" dxfId="547" priority="38">
      <formula>$A$2="PRINT"</formula>
    </cfRule>
  </conditionalFormatting>
  <conditionalFormatting sqref="E86">
    <cfRule type="expression" dxfId="546" priority="37">
      <formula>$A$2="PRINT"</formula>
    </cfRule>
  </conditionalFormatting>
  <conditionalFormatting sqref="F46">
    <cfRule type="expression" dxfId="545" priority="36">
      <formula>$A$2="PRINT"</formula>
    </cfRule>
  </conditionalFormatting>
  <conditionalFormatting sqref="F51">
    <cfRule type="expression" dxfId="544" priority="35">
      <formula>$A$2="PRINT"</formula>
    </cfRule>
  </conditionalFormatting>
  <conditionalFormatting sqref="F56">
    <cfRule type="expression" dxfId="543" priority="34">
      <formula>$A$2="PRINT"</formula>
    </cfRule>
  </conditionalFormatting>
  <conditionalFormatting sqref="F61">
    <cfRule type="expression" dxfId="542" priority="33">
      <formula>$A$2="PRINT"</formula>
    </cfRule>
  </conditionalFormatting>
  <conditionalFormatting sqref="F66">
    <cfRule type="expression" dxfId="541" priority="32">
      <formula>$A$2="PRINT"</formula>
    </cfRule>
  </conditionalFormatting>
  <conditionalFormatting sqref="F71">
    <cfRule type="expression" dxfId="540" priority="31">
      <formula>$A$2="PRINT"</formula>
    </cfRule>
  </conditionalFormatting>
  <conditionalFormatting sqref="F76">
    <cfRule type="expression" dxfId="539" priority="30">
      <formula>$A$2="PRINT"</formula>
    </cfRule>
  </conditionalFormatting>
  <conditionalFormatting sqref="F81">
    <cfRule type="expression" dxfId="538" priority="29">
      <formula>$A$2="PRINT"</formula>
    </cfRule>
  </conditionalFormatting>
  <conditionalFormatting sqref="F86">
    <cfRule type="expression" dxfId="537" priority="28">
      <formula>$A$2="PRINT"</formula>
    </cfRule>
  </conditionalFormatting>
  <conditionalFormatting sqref="D100">
    <cfRule type="expression" dxfId="536" priority="27">
      <formula>$A$2="PRINT"</formula>
    </cfRule>
  </conditionalFormatting>
  <conditionalFormatting sqref="H108">
    <cfRule type="expression" dxfId="535" priority="26">
      <formula>$A$2="PRINT"</formula>
    </cfRule>
  </conditionalFormatting>
  <conditionalFormatting sqref="E111">
    <cfRule type="expression" dxfId="534" priority="25">
      <formula>$A$2="PRINT"</formula>
    </cfRule>
  </conditionalFormatting>
  <conditionalFormatting sqref="F111">
    <cfRule type="expression" dxfId="533" priority="24">
      <formula>$A$2="PRINT"</formula>
    </cfRule>
  </conditionalFormatting>
  <conditionalFormatting sqref="E116">
    <cfRule type="expression" dxfId="532" priority="23">
      <formula>$A$2="PRINT"</formula>
    </cfRule>
  </conditionalFormatting>
  <conditionalFormatting sqref="E141">
    <cfRule type="expression" dxfId="531" priority="18">
      <formula>$A$2="PRINT"</formula>
    </cfRule>
  </conditionalFormatting>
  <conditionalFormatting sqref="E121">
    <cfRule type="expression" dxfId="530" priority="22">
      <formula>$A$2="PRINT"</formula>
    </cfRule>
  </conditionalFormatting>
  <conditionalFormatting sqref="E126">
    <cfRule type="expression" dxfId="529" priority="21">
      <formula>$A$2="PRINT"</formula>
    </cfRule>
  </conditionalFormatting>
  <conditionalFormatting sqref="E146">
    <cfRule type="expression" dxfId="528" priority="17">
      <formula>$A$2="PRINT"</formula>
    </cfRule>
  </conditionalFormatting>
  <conditionalFormatting sqref="E131">
    <cfRule type="expression" dxfId="527" priority="20">
      <formula>$A$2="PRINT"</formula>
    </cfRule>
  </conditionalFormatting>
  <conditionalFormatting sqref="E136">
    <cfRule type="expression" dxfId="526" priority="19">
      <formula>$A$2="PRINT"</formula>
    </cfRule>
  </conditionalFormatting>
  <conditionalFormatting sqref="E151">
    <cfRule type="expression" dxfId="525" priority="16">
      <formula>$A$2="PRINT"</formula>
    </cfRule>
  </conditionalFormatting>
  <conditionalFormatting sqref="E156">
    <cfRule type="expression" dxfId="524" priority="15">
      <formula>$A$2="PRINT"</formula>
    </cfRule>
  </conditionalFormatting>
  <conditionalFormatting sqref="F116">
    <cfRule type="expression" dxfId="523" priority="14">
      <formula>$A$2="PRINT"</formula>
    </cfRule>
  </conditionalFormatting>
  <conditionalFormatting sqref="F121">
    <cfRule type="expression" dxfId="522" priority="13">
      <formula>$A$2="PRINT"</formula>
    </cfRule>
  </conditionalFormatting>
  <conditionalFormatting sqref="F126">
    <cfRule type="expression" dxfId="521" priority="12">
      <formula>$A$2="PRINT"</formula>
    </cfRule>
  </conditionalFormatting>
  <conditionalFormatting sqref="F131">
    <cfRule type="expression" dxfId="520" priority="11">
      <formula>$A$2="PRINT"</formula>
    </cfRule>
  </conditionalFormatting>
  <conditionalFormatting sqref="F136">
    <cfRule type="expression" dxfId="519" priority="10">
      <formula>$A$2="PRINT"</formula>
    </cfRule>
  </conditionalFormatting>
  <conditionalFormatting sqref="F141">
    <cfRule type="expression" dxfId="518" priority="9">
      <formula>$A$2="PRINT"</formula>
    </cfRule>
  </conditionalFormatting>
  <conditionalFormatting sqref="F146">
    <cfRule type="expression" dxfId="517" priority="8">
      <formula>$A$2="PRINT"</formula>
    </cfRule>
  </conditionalFormatting>
  <conditionalFormatting sqref="F151">
    <cfRule type="expression" dxfId="516" priority="7">
      <formula>$A$2="PRINT"</formula>
    </cfRule>
  </conditionalFormatting>
  <conditionalFormatting sqref="F156">
    <cfRule type="expression" dxfId="515" priority="6">
      <formula>$A$2="PRINT"</formula>
    </cfRule>
  </conditionalFormatting>
  <conditionalFormatting sqref="D170">
    <cfRule type="expression" dxfId="514" priority="5">
      <formula>$A$2="PRINT"</formula>
    </cfRule>
  </conditionalFormatting>
  <conditionalFormatting sqref="E185">
    <cfRule type="expression" dxfId="513" priority="2">
      <formula>$A$2="PRINT"</formula>
    </cfRule>
  </conditionalFormatting>
  <conditionalFormatting sqref="E186">
    <cfRule type="expression" dxfId="512" priority="1">
      <formula>$A$2="PRINT"</formula>
    </cfRule>
  </conditionalFormatting>
  <dataValidations count="4">
    <dataValidation type="list" allowBlank="1" showInputMessage="1" showErrorMessage="1" sqref="D100 D170 E185:E187" xr:uid="{00000000-0002-0000-2100-000000000000}">
      <formula1>" Click to select,Yes,No"</formula1>
    </dataValidation>
    <dataValidation type="list" allowBlank="1" showInputMessage="1" showErrorMessage="1" sqref="F41 F46 F51 F56 F61 F66 F71 F76 F81 F86 F111 F116 F121 F126 F131 F136 F141 F146 F151 F156" xr:uid="{00000000-0002-0000-2100-000001000000}">
      <formula1>" Click to select,Staff,Other operating,Depreciation,Cost of capital,Exceptional items"</formula1>
    </dataValidation>
    <dataValidation type="list" allowBlank="1" showInputMessage="1" showErrorMessage="1" sqref="E41 E46 E51 E56 E61 E66 E71 E76 E81 E86 E111 E116 E121 E126 E131 E136 E141 E146 E151 E156" xr:uid="{00000000-0002-0000-2100-000002000000}">
      <formula1>" Click to select,ANSP,MET,NSA/EUROCONTROL"</formula1>
    </dataValidation>
    <dataValidation type="list" allowBlank="1" showInputMessage="1" showErrorMessage="1" sqref="H38:I38 H108:I108" xr:uid="{00000000-0002-0000-2100-000003000000}">
      <formula1>" Click to select,0,1,2,3,4,5,6,7,8,9,10"</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theme="2" tint="-0.249977111117893"/>
    <pageSetUpPr fitToPage="1"/>
  </sheetPr>
  <dimension ref="A2:R197"/>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3.28515625" customWidth="1"/>
    <col min="4" max="9" width="16.28515625" customWidth="1"/>
    <col min="10" max="10" width="1.28515625" customWidth="1"/>
    <col min="11" max="12" width="14" customWidth="1"/>
    <col min="13" max="13" width="1.42578125" customWidth="1"/>
  </cols>
  <sheetData>
    <row r="2" spans="1:18" ht="18.75" hidden="1">
      <c r="A2" s="365"/>
      <c r="C2" s="42" t="s">
        <v>1058</v>
      </c>
    </row>
    <row r="3" spans="1:18" hidden="1">
      <c r="A3" s="107"/>
      <c r="C3" s="86"/>
    </row>
    <row r="4" spans="1:18" ht="18" thickBot="1">
      <c r="C4" s="32" t="s">
        <v>1008</v>
      </c>
      <c r="D4" s="32"/>
      <c r="E4" s="32"/>
      <c r="F4" s="32"/>
      <c r="G4" s="32"/>
      <c r="H4" s="32"/>
      <c r="I4" s="32"/>
      <c r="J4" s="32"/>
      <c r="K4" s="32"/>
      <c r="L4" s="32"/>
      <c r="O4" s="443" t="str">
        <f>MID($C$6,FIND(" -",$C$6)+3,LEN($C$6)-FIND(" -",$C$6)+1)</f>
        <v/>
      </c>
      <c r="P4" s="443" t="e">
        <f>INDEX(Table_CRCO_Factor[May 2019 (based on 12 months)],MATCH($O$4,Table_CRCO_Factor[ECZ],0))</f>
        <v>#N/A</v>
      </c>
      <c r="Q4" s="465" t="e">
        <f ca="1">IF(AND($F$16&lt;&gt;"",ROUND($F$16/1000,0)&lt;&gt;ROUND('1.2 Traffic forecasts'!$F$53+'1.2 Traffic forecasts'!$G$53,0)),", 2020/2021","")&amp;IF(AND($G$16&lt;&gt;"",ROUND($G$16/1000,0)&lt;&gt;ROUND('1.2 Traffic forecasts'!$H$53,0)),", 2022","")&amp;IF(AND($H$16&lt;&gt;"",ROUND($H$16/1000,0)&lt;&gt;ROUND('1.2 Traffic forecasts'!$I$53,0)),", 2023","")&amp;IF(AND($I$16&lt;&gt;"",ROUND($I$16/1000,0)&lt;&gt;ROUND('1.2 Traffic forecasts'!$J$53,0)),", 2024","")</f>
        <v>#VALUE!</v>
      </c>
      <c r="R4" s="465" t="e">
        <f>IF(AND($F$16&lt;&gt;"",ROUND($F$16/1000,0)&lt;&gt;ROUND('1.2 Traffic forecasts'!$F$59+'1.2 Traffic forecasts'!$G$59,0)),", 2020/2021","")&amp;IF(AND($G$16&lt;&gt;"",ROUND($G$16/1000,0)&lt;&gt;ROUND('1.2 Traffic forecasts'!$H$59,0)),", 2022","")&amp;IF(AND($H$16&lt;&gt;"",ROUND($H$16/1000,0)&lt;&gt;ROUND('1.2 Traffic forecasts'!$I$59,0)),", 2023","")&amp;IF(AND($I$16&lt;&gt;"",ROUND($I$16/1000,0)&lt;&gt;ROUND('1.2 Traffic forecasts'!$J$59,0)),", 2024","")</f>
        <v>#VALUE!</v>
      </c>
    </row>
    <row r="5" spans="1:18">
      <c r="C5" s="227"/>
      <c r="D5" s="227"/>
      <c r="E5" s="227"/>
      <c r="F5" s="227"/>
      <c r="G5" s="247"/>
      <c r="H5" s="247"/>
      <c r="I5" s="247"/>
      <c r="J5" s="247"/>
      <c r="K5" s="247"/>
      <c r="L5" s="247"/>
    </row>
    <row r="6" spans="1:18" ht="15.75">
      <c r="C6" s="117" t="str">
        <f>"En Route Charging Zone #3 - " &amp; IF('1.1 The situation'!$C$84="","",'1.1 The situation'!$C$84)</f>
        <v xml:space="preserve">En Route Charging Zone #3 - </v>
      </c>
      <c r="D6" s="117"/>
      <c r="E6" s="117"/>
      <c r="F6" s="117"/>
    </row>
    <row r="7" spans="1:18">
      <c r="B7" s="85"/>
    </row>
    <row r="8" spans="1:18">
      <c r="B8" s="85"/>
      <c r="C8" s="76" t="s">
        <v>1643</v>
      </c>
    </row>
    <row r="9" spans="1:18">
      <c r="B9" s="85"/>
    </row>
    <row r="10" spans="1:18">
      <c r="B10" s="85"/>
      <c r="C10" s="251" t="s">
        <v>1059</v>
      </c>
      <c r="D10" s="351" t="s">
        <v>1433</v>
      </c>
      <c r="E10" s="351" t="s">
        <v>1060</v>
      </c>
      <c r="F10" s="418" t="s">
        <v>1559</v>
      </c>
      <c r="G10" s="418"/>
      <c r="H10" s="418"/>
      <c r="I10" s="418"/>
      <c r="J10" s="252"/>
      <c r="K10" s="253" t="s">
        <v>713</v>
      </c>
      <c r="L10" s="419" t="s">
        <v>713</v>
      </c>
      <c r="M10" s="182"/>
    </row>
    <row r="11" spans="1:18">
      <c r="B11" s="85"/>
      <c r="C11" s="423" t="s">
        <v>1070</v>
      </c>
      <c r="D11" s="350" t="s">
        <v>1432</v>
      </c>
      <c r="E11" s="251" t="s">
        <v>710</v>
      </c>
      <c r="F11" s="251" t="s">
        <v>1562</v>
      </c>
      <c r="G11" s="251" t="s">
        <v>711</v>
      </c>
      <c r="H11" s="251" t="s">
        <v>712</v>
      </c>
      <c r="I11" s="251" t="s">
        <v>713</v>
      </c>
      <c r="J11" s="252"/>
      <c r="K11" s="420" t="s">
        <v>1560</v>
      </c>
      <c r="L11" s="421" t="s">
        <v>1561</v>
      </c>
      <c r="M11" s="182"/>
      <c r="O11" s="462" t="str">
        <f>IF(OR(C11='1.1 The situation'!$C$84,C11="Name of the CZ"),"","Attention: The name of the Charging Zone below is different from used in the worksheet '1.1 The situation'.")</f>
        <v/>
      </c>
    </row>
    <row r="12" spans="1:18">
      <c r="B12" s="85"/>
      <c r="C12" s="256" t="s">
        <v>1067</v>
      </c>
      <c r="D12" s="469"/>
      <c r="E12" s="469"/>
      <c r="F12" s="248"/>
      <c r="G12" s="248"/>
      <c r="H12" s="248"/>
      <c r="I12" s="248"/>
      <c r="J12" s="252"/>
      <c r="K12" s="258"/>
      <c r="L12" s="258"/>
      <c r="M12" s="182"/>
    </row>
    <row r="13" spans="1:18" ht="15" customHeight="1">
      <c r="B13" s="85"/>
      <c r="C13" s="259" t="s">
        <v>715</v>
      </c>
      <c r="D13" s="470"/>
      <c r="E13" s="470"/>
      <c r="F13" s="261"/>
      <c r="G13" s="261"/>
      <c r="H13" s="261"/>
      <c r="I13" s="261"/>
      <c r="J13" s="252"/>
      <c r="K13" s="262"/>
      <c r="L13" s="262"/>
      <c r="M13" s="182"/>
    </row>
    <row r="14" spans="1:18" ht="15" customHeight="1">
      <c r="B14" s="85"/>
      <c r="C14" s="422" t="s">
        <v>1563</v>
      </c>
      <c r="D14" s="248"/>
      <c r="E14" s="248"/>
      <c r="F14" s="248"/>
      <c r="G14" s="248"/>
      <c r="H14" s="248"/>
      <c r="I14" s="248"/>
      <c r="J14" s="252"/>
      <c r="K14" s="258"/>
      <c r="L14" s="258"/>
      <c r="M14" s="182"/>
    </row>
    <row r="15" spans="1:18">
      <c r="B15" s="85"/>
      <c r="C15" s="256" t="s">
        <v>714</v>
      </c>
      <c r="D15" s="257"/>
      <c r="E15" s="257"/>
      <c r="F15" s="263"/>
      <c r="G15" s="263"/>
      <c r="H15" s="263"/>
      <c r="I15" s="263"/>
      <c r="J15" s="252"/>
      <c r="K15" s="257"/>
      <c r="L15" s="257"/>
      <c r="M15" s="182"/>
    </row>
    <row r="16" spans="1:18">
      <c r="B16" s="85"/>
      <c r="C16" s="256" t="s">
        <v>716</v>
      </c>
      <c r="D16" s="469"/>
      <c r="E16" s="469"/>
      <c r="F16" s="248"/>
      <c r="G16" s="248"/>
      <c r="H16" s="248"/>
      <c r="I16" s="248"/>
      <c r="J16" s="252"/>
      <c r="K16" s="258"/>
      <c r="L16" s="258"/>
      <c r="M16" s="182"/>
      <c r="O16" s="462" t="str">
        <f ca="1">IFERROR(IF('1.2 Traffic forecasts'!$C$48&lt;&gt;"Local Forecast",
IF(SUMPRODUCT((ROUND($G$16:$I$16/1000,0)&lt;&gt;ROUND('1.2 Traffic forecasts'!$H$53:$J$53,0))*($G$16:$I$16&lt;&gt;""))+(ROUND(SUM('1.2 Traffic forecasts'!$F$53:$G$53),0)&lt;&gt;ROUND($F$16/1000,0))*1&lt;&gt;0,"Attention: the TSUs provided below for this CZ do not correspond the figures provided in Section '1.2 Traffic forecasts'"&amp;IF($Q$4&lt;&gt;""," for the year(s) "&amp;MID($Q$4,3,LEN($Q$4)-2),""),""),
IF(SUMPRODUCT((ROUND($G$16:$I$16/1000,0)&lt;&gt;ROUND('1.2 Traffic forecasts'!$H$59:$J$59,0))*($G$16:$I$16&lt;&gt;""))+(ROUND(SUM('1.2 Traffic forecasts'!$F$59:$G$59),0)&lt;&gt;ROUND($F$16/1000,0))*1&lt;&gt;0,"Attention: the TSUs provided below for this CZ do not correspond the figures provided in Section '1.2 Traffic forecasts'"&amp;IF($R$4&lt;&gt;""," for the year(s) "&amp;MID($R$4,3,LEN($R$4)-2),""),"")),"")</f>
        <v/>
      </c>
    </row>
    <row r="17" spans="2:13">
      <c r="B17" s="85"/>
      <c r="C17" s="256" t="s">
        <v>714</v>
      </c>
      <c r="D17" s="257"/>
      <c r="E17" s="257"/>
      <c r="F17" s="263"/>
      <c r="G17" s="263"/>
      <c r="H17" s="263"/>
      <c r="I17" s="263"/>
      <c r="J17" s="265"/>
      <c r="K17" s="257"/>
      <c r="L17" s="257"/>
      <c r="M17" s="182"/>
    </row>
    <row r="18" spans="2:13">
      <c r="B18" s="85"/>
      <c r="C18" s="249" t="s">
        <v>717</v>
      </c>
      <c r="D18" s="266"/>
      <c r="E18" s="266"/>
      <c r="F18" s="250"/>
      <c r="G18" s="250"/>
      <c r="H18" s="250"/>
      <c r="I18" s="250"/>
      <c r="J18" s="252"/>
      <c r="K18" s="262"/>
      <c r="L18" s="262"/>
      <c r="M18" s="182"/>
    </row>
    <row r="19" spans="2:13" ht="17.25">
      <c r="B19" s="85"/>
      <c r="C19" s="256" t="s">
        <v>1068</v>
      </c>
      <c r="D19" s="266"/>
      <c r="E19" s="266"/>
      <c r="F19" s="250"/>
      <c r="G19" s="250"/>
      <c r="H19" s="250"/>
      <c r="I19" s="250"/>
      <c r="J19" s="265"/>
      <c r="K19" s="262"/>
      <c r="L19" s="262"/>
      <c r="M19" s="182"/>
    </row>
    <row r="20" spans="2:13">
      <c r="B20" s="85"/>
      <c r="C20" s="256" t="s">
        <v>714</v>
      </c>
      <c r="D20" s="255"/>
      <c r="E20" s="255"/>
      <c r="F20" s="263"/>
      <c r="G20" s="263"/>
      <c r="H20" s="263"/>
      <c r="I20" s="263"/>
      <c r="J20" s="265"/>
      <c r="K20" s="255"/>
      <c r="L20" s="310"/>
      <c r="M20" s="182"/>
    </row>
    <row r="21" spans="2:13">
      <c r="B21" s="85"/>
      <c r="C21" s="267"/>
      <c r="D21" s="116"/>
      <c r="E21" s="116"/>
      <c r="F21" s="152"/>
      <c r="G21" s="152"/>
      <c r="H21" s="152"/>
      <c r="I21" s="152"/>
    </row>
    <row r="22" spans="2:13">
      <c r="B22" s="85"/>
      <c r="C22" s="352" t="s">
        <v>1061</v>
      </c>
      <c r="D22" s="353"/>
      <c r="E22" s="268"/>
      <c r="F22" s="182"/>
    </row>
    <row r="23" spans="2:13" ht="17.25">
      <c r="B23" s="85"/>
      <c r="C23" s="354" t="s">
        <v>1069</v>
      </c>
      <c r="D23" s="355"/>
      <c r="E23" s="269"/>
      <c r="F23" s="182"/>
    </row>
    <row r="24" spans="2:13" ht="8.1" customHeight="1">
      <c r="B24" s="85"/>
      <c r="C24" s="152"/>
      <c r="D24" s="152"/>
      <c r="E24" s="152"/>
    </row>
    <row r="25" spans="2:13" ht="8.1" customHeight="1">
      <c r="B25" s="85"/>
    </row>
    <row r="26" spans="2:13">
      <c r="B26" s="85"/>
      <c r="C26" s="76" t="s">
        <v>1564</v>
      </c>
    </row>
    <row r="27" spans="2:13">
      <c r="B27" s="85"/>
    </row>
    <row r="28" spans="2:13" ht="15" customHeight="1">
      <c r="B28" s="85"/>
      <c r="C28" s="251" t="s">
        <v>1059</v>
      </c>
      <c r="D28" s="351" t="s">
        <v>1433</v>
      </c>
      <c r="E28" s="351" t="s">
        <v>1060</v>
      </c>
      <c r="F28" s="351" t="s">
        <v>1565</v>
      </c>
      <c r="G28" s="351" t="s">
        <v>1566</v>
      </c>
      <c r="H28" s="468" t="s">
        <v>1686</v>
      </c>
      <c r="I28" s="468" t="s">
        <v>1688</v>
      </c>
    </row>
    <row r="29" spans="2:13">
      <c r="B29" s="85"/>
      <c r="C29" s="423" t="s">
        <v>1070</v>
      </c>
      <c r="D29" s="420" t="s">
        <v>1432</v>
      </c>
      <c r="E29" s="424" t="s">
        <v>710</v>
      </c>
      <c r="F29" s="420" t="s">
        <v>1567</v>
      </c>
      <c r="G29" s="425" t="s">
        <v>1568</v>
      </c>
      <c r="H29" s="421" t="s">
        <v>1687</v>
      </c>
      <c r="I29" s="421" t="s">
        <v>1689</v>
      </c>
    </row>
    <row r="30" spans="2:13">
      <c r="B30" s="85"/>
      <c r="C30" s="422" t="s">
        <v>1569</v>
      </c>
      <c r="D30" s="2"/>
      <c r="E30" s="2"/>
      <c r="F30" s="2"/>
      <c r="G30" s="2"/>
      <c r="H30" s="2"/>
      <c r="I30" s="2"/>
    </row>
    <row r="31" spans="2:13" ht="15" customHeight="1">
      <c r="B31" s="85"/>
      <c r="C31" s="426" t="s">
        <v>1570</v>
      </c>
      <c r="D31" s="427"/>
      <c r="E31" s="427"/>
      <c r="F31" s="2"/>
      <c r="G31" s="2"/>
      <c r="H31" s="2"/>
      <c r="I31" s="2"/>
    </row>
    <row r="32" spans="2:13" ht="17.25">
      <c r="B32" s="85"/>
      <c r="C32" s="256" t="s">
        <v>1563</v>
      </c>
      <c r="D32" s="2"/>
      <c r="E32" s="2"/>
      <c r="F32" s="2"/>
      <c r="G32" s="2"/>
      <c r="H32" s="2"/>
      <c r="I32" s="2"/>
    </row>
    <row r="33" spans="2:9">
      <c r="B33" s="85"/>
      <c r="C33" s="422" t="s">
        <v>1571</v>
      </c>
      <c r="D33" s="2"/>
      <c r="E33" s="2"/>
      <c r="F33" s="2"/>
      <c r="G33" s="2"/>
      <c r="H33" s="2"/>
      <c r="I33" s="2"/>
    </row>
    <row r="34" spans="2:9">
      <c r="B34" s="85"/>
    </row>
    <row r="36" spans="2:9">
      <c r="C36" s="76" t="s">
        <v>1592</v>
      </c>
    </row>
    <row r="38" spans="2:9">
      <c r="C38" s="444" t="s">
        <v>1615</v>
      </c>
      <c r="F38" s="920" t="s">
        <v>1572</v>
      </c>
      <c r="G38" s="920"/>
      <c r="H38" s="921" t="s">
        <v>240</v>
      </c>
      <c r="I38" s="921"/>
    </row>
    <row r="40" spans="2:9" hidden="1">
      <c r="C40" s="428" t="s">
        <v>1573</v>
      </c>
      <c r="D40" s="429" t="s">
        <v>259</v>
      </c>
      <c r="E40" s="429" t="s">
        <v>1574</v>
      </c>
      <c r="F40" s="429" t="s">
        <v>1575</v>
      </c>
      <c r="G40" s="429" t="s">
        <v>1576</v>
      </c>
      <c r="H40" s="429" t="s">
        <v>1577</v>
      </c>
      <c r="I40" s="429" t="s">
        <v>1578</v>
      </c>
    </row>
    <row r="41" spans="2:9" hidden="1">
      <c r="C41" s="430" t="s">
        <v>1581</v>
      </c>
      <c r="D41" s="430"/>
      <c r="E41" s="156" t="s">
        <v>240</v>
      </c>
      <c r="F41" s="431" t="s">
        <v>240</v>
      </c>
      <c r="G41" s="432"/>
      <c r="H41" s="451">
        <f>IF(OR(E41="Click to select",F41="Click to select"),0,IF(OR(E41="ANSP",E41="MET"),IF(OR(F41="Staff",F41="Other operating",F41="Exceptional items"),G41/(INDEX(Table_Inflation_IDX_ECZ[Inflation Index 2014 Actual],MATCH($O$4,Table_Inflation_IDX_ECZ[ER_CZ],0))/100),G41),G41))</f>
        <v>0</v>
      </c>
      <c r="I41" s="451">
        <f>IFERROR(H41/$E$23,0)</f>
        <v>0</v>
      </c>
    </row>
    <row r="42" spans="2:9" hidden="1">
      <c r="C42" s="922" t="s">
        <v>1579</v>
      </c>
      <c r="D42" s="923"/>
      <c r="E42" s="923"/>
      <c r="F42" s="923"/>
      <c r="G42" s="923"/>
      <c r="H42" s="923"/>
      <c r="I42" s="924"/>
    </row>
    <row r="43" spans="2:9" ht="30" hidden="1" customHeight="1">
      <c r="C43" s="925" t="s">
        <v>1580</v>
      </c>
      <c r="D43" s="926"/>
      <c r="E43" s="926"/>
      <c r="F43" s="926"/>
      <c r="G43" s="926"/>
      <c r="H43" s="926"/>
      <c r="I43" s="927"/>
    </row>
    <row r="44" spans="2:9" hidden="1"/>
    <row r="45" spans="2:9" hidden="1">
      <c r="C45" s="428" t="s">
        <v>1582</v>
      </c>
      <c r="D45" s="429" t="s">
        <v>259</v>
      </c>
      <c r="E45" s="429" t="s">
        <v>1574</v>
      </c>
      <c r="F45" s="429" t="s">
        <v>1575</v>
      </c>
      <c r="G45" s="429" t="s">
        <v>1576</v>
      </c>
      <c r="H45" s="429" t="s">
        <v>1577</v>
      </c>
      <c r="I45" s="429" t="s">
        <v>1578</v>
      </c>
    </row>
    <row r="46" spans="2:9" hidden="1">
      <c r="C46" s="430" t="s">
        <v>1581</v>
      </c>
      <c r="D46" s="430"/>
      <c r="E46" s="156" t="s">
        <v>240</v>
      </c>
      <c r="F46" s="431" t="s">
        <v>240</v>
      </c>
      <c r="G46" s="432"/>
      <c r="H46" s="451">
        <f>IF(OR(E46="Click to select",F46="Click to select"),0,IF(OR(E46="ANSP",E46="MET"),IF(OR(F46="Staff",F46="Other operating",F46="Exceptional items"),G46/(INDEX(Table_Inflation_IDX_ECZ[Inflation Index 2014 Actual],MATCH($O$4,Table_Inflation_IDX_ECZ[ER_CZ],0))/100),G46),G46))</f>
        <v>0</v>
      </c>
      <c r="I46" s="451">
        <f>IFERROR(H46/$E$23,0)</f>
        <v>0</v>
      </c>
    </row>
    <row r="47" spans="2:9" hidden="1">
      <c r="C47" s="922" t="s">
        <v>1579</v>
      </c>
      <c r="D47" s="923"/>
      <c r="E47" s="923"/>
      <c r="F47" s="923"/>
      <c r="G47" s="923"/>
      <c r="H47" s="923"/>
      <c r="I47" s="924"/>
    </row>
    <row r="48" spans="2:9" ht="30" hidden="1" customHeight="1">
      <c r="C48" s="925" t="s">
        <v>1580</v>
      </c>
      <c r="D48" s="926"/>
      <c r="E48" s="926"/>
      <c r="F48" s="926"/>
      <c r="G48" s="926"/>
      <c r="H48" s="926"/>
      <c r="I48" s="927"/>
    </row>
    <row r="49" spans="3:9" hidden="1"/>
    <row r="50" spans="3:9" hidden="1">
      <c r="C50" s="428" t="s">
        <v>1583</v>
      </c>
      <c r="D50" s="429" t="s">
        <v>259</v>
      </c>
      <c r="E50" s="429" t="s">
        <v>1574</v>
      </c>
      <c r="F50" s="429" t="s">
        <v>1575</v>
      </c>
      <c r="G50" s="429" t="s">
        <v>1576</v>
      </c>
      <c r="H50" s="429" t="s">
        <v>1577</v>
      </c>
      <c r="I50" s="429" t="s">
        <v>1578</v>
      </c>
    </row>
    <row r="51" spans="3:9" hidden="1">
      <c r="C51" s="430" t="s">
        <v>1581</v>
      </c>
      <c r="D51" s="430"/>
      <c r="E51" s="156" t="s">
        <v>240</v>
      </c>
      <c r="F51" s="431" t="s">
        <v>240</v>
      </c>
      <c r="G51" s="432"/>
      <c r="H51" s="451">
        <f>IF(OR(E51="Click to select",F51="Click to select"),0,IF(OR(E51="ANSP",E51="MET"),IF(OR(F51="Staff",F51="Other operating",F51="Exceptional items"),G51/(INDEX(Table_Inflation_IDX_ECZ[Inflation Index 2014 Actual],MATCH($O$4,Table_Inflation_IDX_ECZ[ER_CZ],0))/100),G51),G51))</f>
        <v>0</v>
      </c>
      <c r="I51" s="451">
        <f>IFERROR(H51/$E$23,0)</f>
        <v>0</v>
      </c>
    </row>
    <row r="52" spans="3:9" hidden="1">
      <c r="C52" s="922" t="s">
        <v>1579</v>
      </c>
      <c r="D52" s="923"/>
      <c r="E52" s="923"/>
      <c r="F52" s="923"/>
      <c r="G52" s="923"/>
      <c r="H52" s="923"/>
      <c r="I52" s="924"/>
    </row>
    <row r="53" spans="3:9" ht="30" hidden="1" customHeight="1">
      <c r="C53" s="925" t="s">
        <v>1580</v>
      </c>
      <c r="D53" s="926"/>
      <c r="E53" s="926"/>
      <c r="F53" s="926"/>
      <c r="G53" s="926"/>
      <c r="H53" s="926"/>
      <c r="I53" s="927"/>
    </row>
    <row r="54" spans="3:9" hidden="1"/>
    <row r="55" spans="3:9" hidden="1">
      <c r="C55" s="428" t="s">
        <v>1584</v>
      </c>
      <c r="D55" s="429" t="s">
        <v>259</v>
      </c>
      <c r="E55" s="429" t="s">
        <v>1574</v>
      </c>
      <c r="F55" s="429" t="s">
        <v>1575</v>
      </c>
      <c r="G55" s="429" t="s">
        <v>1576</v>
      </c>
      <c r="H55" s="429" t="s">
        <v>1577</v>
      </c>
      <c r="I55" s="429" t="s">
        <v>1578</v>
      </c>
    </row>
    <row r="56" spans="3:9" hidden="1">
      <c r="C56" s="430" t="s">
        <v>1581</v>
      </c>
      <c r="D56" s="430"/>
      <c r="E56" s="156" t="s">
        <v>240</v>
      </c>
      <c r="F56" s="431" t="s">
        <v>240</v>
      </c>
      <c r="G56" s="432"/>
      <c r="H56" s="451">
        <f>IF(OR(E56="Click to select",F56="Click to select"),0,IF(OR(E56="ANSP",E56="MET"),IF(OR(F56="Staff",F56="Other operating",F56="Exceptional items"),G56/(INDEX(Table_Inflation_IDX_ECZ[Inflation Index 2014 Actual],MATCH($O$4,Table_Inflation_IDX_ECZ[ER_CZ],0))/100),G56),G56))</f>
        <v>0</v>
      </c>
      <c r="I56" s="451">
        <f>IFERROR(H56/$E$23,0)</f>
        <v>0</v>
      </c>
    </row>
    <row r="57" spans="3:9" hidden="1">
      <c r="C57" s="922" t="s">
        <v>1579</v>
      </c>
      <c r="D57" s="923"/>
      <c r="E57" s="923"/>
      <c r="F57" s="923"/>
      <c r="G57" s="923"/>
      <c r="H57" s="923"/>
      <c r="I57" s="924"/>
    </row>
    <row r="58" spans="3:9" ht="30" hidden="1" customHeight="1">
      <c r="C58" s="925" t="s">
        <v>1580</v>
      </c>
      <c r="D58" s="926"/>
      <c r="E58" s="926"/>
      <c r="F58" s="926"/>
      <c r="G58" s="926"/>
      <c r="H58" s="926"/>
      <c r="I58" s="927"/>
    </row>
    <row r="59" spans="3:9" hidden="1"/>
    <row r="60" spans="3:9" hidden="1">
      <c r="C60" s="428" t="s">
        <v>1585</v>
      </c>
      <c r="D60" s="429" t="s">
        <v>259</v>
      </c>
      <c r="E60" s="429" t="s">
        <v>1574</v>
      </c>
      <c r="F60" s="429" t="s">
        <v>1575</v>
      </c>
      <c r="G60" s="429" t="s">
        <v>1576</v>
      </c>
      <c r="H60" s="429" t="s">
        <v>1577</v>
      </c>
      <c r="I60" s="429" t="s">
        <v>1578</v>
      </c>
    </row>
    <row r="61" spans="3:9" hidden="1">
      <c r="C61" s="430" t="s">
        <v>1581</v>
      </c>
      <c r="D61" s="430"/>
      <c r="E61" s="156" t="s">
        <v>240</v>
      </c>
      <c r="F61" s="431" t="s">
        <v>240</v>
      </c>
      <c r="G61" s="432"/>
      <c r="H61" s="451">
        <f>IF(OR(E61="Click to select",F61="Click to select"),0,IF(OR(E61="ANSP",E61="MET"),IF(OR(F61="Staff",F61="Other operating",F61="Exceptional items"),G61/(INDEX(Table_Inflation_IDX_ECZ[Inflation Index 2014 Actual],MATCH($O$4,Table_Inflation_IDX_ECZ[ER_CZ],0))/100),G61),G61))</f>
        <v>0</v>
      </c>
      <c r="I61" s="451">
        <f>IFERROR(H61/$E$23,0)</f>
        <v>0</v>
      </c>
    </row>
    <row r="62" spans="3:9" hidden="1">
      <c r="C62" s="922" t="s">
        <v>1579</v>
      </c>
      <c r="D62" s="923"/>
      <c r="E62" s="923"/>
      <c r="F62" s="923"/>
      <c r="G62" s="923"/>
      <c r="H62" s="923"/>
      <c r="I62" s="924"/>
    </row>
    <row r="63" spans="3:9" ht="30" hidden="1" customHeight="1">
      <c r="C63" s="925" t="s">
        <v>1580</v>
      </c>
      <c r="D63" s="926"/>
      <c r="E63" s="926"/>
      <c r="F63" s="926"/>
      <c r="G63" s="926"/>
      <c r="H63" s="926"/>
      <c r="I63" s="927"/>
    </row>
    <row r="64" spans="3:9" hidden="1"/>
    <row r="65" spans="3:9" hidden="1">
      <c r="C65" s="428" t="s">
        <v>1586</v>
      </c>
      <c r="D65" s="429" t="s">
        <v>259</v>
      </c>
      <c r="E65" s="429" t="s">
        <v>1574</v>
      </c>
      <c r="F65" s="429" t="s">
        <v>1575</v>
      </c>
      <c r="G65" s="429" t="s">
        <v>1576</v>
      </c>
      <c r="H65" s="429" t="s">
        <v>1577</v>
      </c>
      <c r="I65" s="429" t="s">
        <v>1578</v>
      </c>
    </row>
    <row r="66" spans="3:9" hidden="1">
      <c r="C66" s="430" t="s">
        <v>1581</v>
      </c>
      <c r="D66" s="430"/>
      <c r="E66" s="156" t="s">
        <v>240</v>
      </c>
      <c r="F66" s="431" t="s">
        <v>240</v>
      </c>
      <c r="G66" s="432"/>
      <c r="H66" s="451">
        <f>IF(OR(E66="Click to select",F66="Click to select"),0,IF(OR(E66="ANSP",E66="MET"),IF(OR(F66="Staff",F66="Other operating",F66="Exceptional items"),G66/(INDEX(Table_Inflation_IDX_ECZ[Inflation Index 2014 Actual],MATCH($O$4,Table_Inflation_IDX_ECZ[ER_CZ],0))/100),G66),G66))</f>
        <v>0</v>
      </c>
      <c r="I66" s="451">
        <f>IFERROR(H66/$E$23,0)</f>
        <v>0</v>
      </c>
    </row>
    <row r="67" spans="3:9" hidden="1">
      <c r="C67" s="922" t="s">
        <v>1579</v>
      </c>
      <c r="D67" s="923"/>
      <c r="E67" s="923"/>
      <c r="F67" s="923"/>
      <c r="G67" s="923"/>
      <c r="H67" s="923"/>
      <c r="I67" s="924"/>
    </row>
    <row r="68" spans="3:9" ht="30" hidden="1" customHeight="1">
      <c r="C68" s="925" t="s">
        <v>1580</v>
      </c>
      <c r="D68" s="926"/>
      <c r="E68" s="926"/>
      <c r="F68" s="926"/>
      <c r="G68" s="926"/>
      <c r="H68" s="926"/>
      <c r="I68" s="927"/>
    </row>
    <row r="69" spans="3:9" hidden="1"/>
    <row r="70" spans="3:9" hidden="1">
      <c r="C70" s="428" t="s">
        <v>1587</v>
      </c>
      <c r="D70" s="429" t="s">
        <v>259</v>
      </c>
      <c r="E70" s="429" t="s">
        <v>1574</v>
      </c>
      <c r="F70" s="429" t="s">
        <v>1575</v>
      </c>
      <c r="G70" s="429" t="s">
        <v>1576</v>
      </c>
      <c r="H70" s="429" t="s">
        <v>1577</v>
      </c>
      <c r="I70" s="429" t="s">
        <v>1578</v>
      </c>
    </row>
    <row r="71" spans="3:9" hidden="1">
      <c r="C71" s="430" t="s">
        <v>1581</v>
      </c>
      <c r="D71" s="430"/>
      <c r="E71" s="156" t="s">
        <v>240</v>
      </c>
      <c r="F71" s="431" t="s">
        <v>240</v>
      </c>
      <c r="G71" s="432"/>
      <c r="H71" s="451">
        <f>IF(OR(E71="Click to select",F71="Click to select"),0,IF(OR(E71="ANSP",E71="MET"),IF(OR(F71="Staff",F71="Other operating",F71="Exceptional items"),G71/(INDEX(Table_Inflation_IDX_ECZ[Inflation Index 2014 Actual],MATCH($O$4,Table_Inflation_IDX_ECZ[ER_CZ],0))/100),G71),G71))</f>
        <v>0</v>
      </c>
      <c r="I71" s="451">
        <f>IFERROR(H71/$E$23,0)</f>
        <v>0</v>
      </c>
    </row>
    <row r="72" spans="3:9" hidden="1">
      <c r="C72" s="922" t="s">
        <v>1579</v>
      </c>
      <c r="D72" s="923"/>
      <c r="E72" s="923"/>
      <c r="F72" s="923"/>
      <c r="G72" s="923"/>
      <c r="H72" s="923"/>
      <c r="I72" s="924"/>
    </row>
    <row r="73" spans="3:9" ht="30" hidden="1" customHeight="1">
      <c r="C73" s="925" t="s">
        <v>1580</v>
      </c>
      <c r="D73" s="926"/>
      <c r="E73" s="926"/>
      <c r="F73" s="926"/>
      <c r="G73" s="926"/>
      <c r="H73" s="926"/>
      <c r="I73" s="927"/>
    </row>
    <row r="74" spans="3:9" hidden="1"/>
    <row r="75" spans="3:9" hidden="1">
      <c r="C75" s="428" t="s">
        <v>1588</v>
      </c>
      <c r="D75" s="429" t="s">
        <v>259</v>
      </c>
      <c r="E75" s="429" t="s">
        <v>1574</v>
      </c>
      <c r="F75" s="429" t="s">
        <v>1575</v>
      </c>
      <c r="G75" s="429" t="s">
        <v>1576</v>
      </c>
      <c r="H75" s="429" t="s">
        <v>1577</v>
      </c>
      <c r="I75" s="429" t="s">
        <v>1578</v>
      </c>
    </row>
    <row r="76" spans="3:9" hidden="1">
      <c r="C76" s="430" t="s">
        <v>1581</v>
      </c>
      <c r="D76" s="430"/>
      <c r="E76" s="156" t="s">
        <v>240</v>
      </c>
      <c r="F76" s="431" t="s">
        <v>240</v>
      </c>
      <c r="G76" s="432"/>
      <c r="H76" s="451">
        <f>IF(OR(E76="Click to select",F76="Click to select"),0,IF(OR(E76="ANSP",E76="MET"),IF(OR(F76="Staff",F76="Other operating",F76="Exceptional items"),G76/(INDEX(Table_Inflation_IDX_ECZ[Inflation Index 2014 Actual],MATCH($O$4,Table_Inflation_IDX_ECZ[ER_CZ],0))/100),G76),G76))</f>
        <v>0</v>
      </c>
      <c r="I76" s="451">
        <f>IFERROR(H76/$E$23,0)</f>
        <v>0</v>
      </c>
    </row>
    <row r="77" spans="3:9" hidden="1">
      <c r="C77" s="922" t="s">
        <v>1579</v>
      </c>
      <c r="D77" s="923"/>
      <c r="E77" s="923"/>
      <c r="F77" s="923"/>
      <c r="G77" s="923"/>
      <c r="H77" s="923"/>
      <c r="I77" s="924"/>
    </row>
    <row r="78" spans="3:9" ht="30" hidden="1" customHeight="1">
      <c r="C78" s="925" t="s">
        <v>1580</v>
      </c>
      <c r="D78" s="926"/>
      <c r="E78" s="926"/>
      <c r="F78" s="926"/>
      <c r="G78" s="926"/>
      <c r="H78" s="926"/>
      <c r="I78" s="927"/>
    </row>
    <row r="79" spans="3:9" hidden="1"/>
    <row r="80" spans="3:9" hidden="1">
      <c r="C80" s="428" t="s">
        <v>1589</v>
      </c>
      <c r="D80" s="429" t="s">
        <v>259</v>
      </c>
      <c r="E80" s="429" t="s">
        <v>1574</v>
      </c>
      <c r="F80" s="429" t="s">
        <v>1575</v>
      </c>
      <c r="G80" s="429" t="s">
        <v>1576</v>
      </c>
      <c r="H80" s="429" t="s">
        <v>1577</v>
      </c>
      <c r="I80" s="429" t="s">
        <v>1578</v>
      </c>
    </row>
    <row r="81" spans="3:15" hidden="1">
      <c r="C81" s="430" t="s">
        <v>1581</v>
      </c>
      <c r="D81" s="430"/>
      <c r="E81" s="156" t="s">
        <v>240</v>
      </c>
      <c r="F81" s="431" t="s">
        <v>240</v>
      </c>
      <c r="G81" s="432"/>
      <c r="H81" s="451">
        <f>IF(OR(E81="Click to select",F81="Click to select"),0,IF(OR(E81="ANSP",E81="MET"),IF(OR(F81="Staff",F81="Other operating",F81="Exceptional items"),G81/(INDEX(Table_Inflation_IDX_ECZ[Inflation Index 2014 Actual],MATCH($O$4,Table_Inflation_IDX_ECZ[ER_CZ],0))/100),G81),G81))</f>
        <v>0</v>
      </c>
      <c r="I81" s="451">
        <f>IFERROR(H81/$E$23,0)</f>
        <v>0</v>
      </c>
    </row>
    <row r="82" spans="3:15" hidden="1">
      <c r="C82" s="922" t="s">
        <v>1579</v>
      </c>
      <c r="D82" s="923"/>
      <c r="E82" s="923"/>
      <c r="F82" s="923"/>
      <c r="G82" s="923"/>
      <c r="H82" s="923"/>
      <c r="I82" s="924"/>
    </row>
    <row r="83" spans="3:15" ht="30" hidden="1" customHeight="1">
      <c r="C83" s="925" t="s">
        <v>1580</v>
      </c>
      <c r="D83" s="926"/>
      <c r="E83" s="926"/>
      <c r="F83" s="926"/>
      <c r="G83" s="926"/>
      <c r="H83" s="926"/>
      <c r="I83" s="927"/>
    </row>
    <row r="84" spans="3:15" hidden="1"/>
    <row r="85" spans="3:15" hidden="1">
      <c r="C85" s="428" t="s">
        <v>1590</v>
      </c>
      <c r="D85" s="429" t="s">
        <v>259</v>
      </c>
      <c r="E85" s="429" t="s">
        <v>1574</v>
      </c>
      <c r="F85" s="429" t="s">
        <v>1575</v>
      </c>
      <c r="G85" s="429" t="s">
        <v>1576</v>
      </c>
      <c r="H85" s="429" t="s">
        <v>1577</v>
      </c>
      <c r="I85" s="429" t="s">
        <v>1578</v>
      </c>
    </row>
    <row r="86" spans="3:15" hidden="1">
      <c r="C86" s="430" t="s">
        <v>1581</v>
      </c>
      <c r="D86" s="430"/>
      <c r="E86" s="156" t="s">
        <v>240</v>
      </c>
      <c r="F86" s="431" t="s">
        <v>240</v>
      </c>
      <c r="G86" s="432"/>
      <c r="H86" s="451">
        <f>IF(OR(E86="Click to select",F86="Click to select"),0,IF(OR(E86="ANSP",E86="MET"),IF(OR(F86="Staff",F86="Other operating",F86="Exceptional items"),G86/(INDEX(Table_Inflation_IDX_ECZ[Inflation Index 2014 Actual],MATCH($O$4,Table_Inflation_IDX_ECZ[ER_CZ],0))/100),G86),G86))</f>
        <v>0</v>
      </c>
      <c r="I86" s="451">
        <f>IFERROR(H86/$E$23,0)</f>
        <v>0</v>
      </c>
    </row>
    <row r="87" spans="3:15" hidden="1">
      <c r="C87" s="922" t="s">
        <v>1579</v>
      </c>
      <c r="D87" s="923"/>
      <c r="E87" s="923"/>
      <c r="F87" s="923"/>
      <c r="G87" s="923"/>
      <c r="H87" s="923"/>
      <c r="I87" s="924"/>
    </row>
    <row r="88" spans="3:15" ht="30" hidden="1" customHeight="1">
      <c r="C88" s="925" t="s">
        <v>1580</v>
      </c>
      <c r="D88" s="926"/>
      <c r="E88" s="926"/>
      <c r="F88" s="926"/>
      <c r="G88" s="926"/>
      <c r="H88" s="926"/>
      <c r="I88" s="927"/>
    </row>
    <row r="89" spans="3:15" hidden="1"/>
    <row r="90" spans="3:15" hidden="1">
      <c r="C90" s="933" t="s">
        <v>1591</v>
      </c>
      <c r="D90" s="934"/>
      <c r="E90" s="934"/>
      <c r="F90" s="935"/>
      <c r="G90" s="433" t="s">
        <v>1576</v>
      </c>
      <c r="H90" s="433" t="s">
        <v>1577</v>
      </c>
      <c r="I90" s="433" t="s">
        <v>1578</v>
      </c>
      <c r="O90" s="462" t="str">
        <f>IFERROR(IF(ROUND(G91/100,0)&lt;&gt;ROUND(H30/100,0),"The total adjustment in nominal NC does not match the figure in section b)",""),"")</f>
        <v/>
      </c>
    </row>
    <row r="91" spans="3:15" hidden="1">
      <c r="C91" s="936"/>
      <c r="D91" s="937"/>
      <c r="E91" s="937"/>
      <c r="F91" s="938"/>
      <c r="G91" s="452" t="str">
        <f>IF(G86+G81+G76+G71+G66+G61+G56+G51+G46+G41=0,"-",G86+G81+G76+G71+G66+G61+G56+G51+G46+G41)</f>
        <v>-</v>
      </c>
      <c r="H91" s="452">
        <f>IFERROR(H86+H81+H76+H71+H66+H61+H56+H51+H46+H41,"-")</f>
        <v>0</v>
      </c>
      <c r="I91" s="452">
        <f>IFERROR(I86+I81+I76+I71+I66+I61+I56+I51+I46+I41,"-")</f>
        <v>0</v>
      </c>
      <c r="O91" s="462" t="str">
        <f>IFERROR(IF(ROUND(H91/100,0)&lt;&gt;ROUND(H31/100,0),"The total adjustment in real NC does not match the figure in section b)",""),"")</f>
        <v/>
      </c>
    </row>
    <row r="92" spans="3:15" hidden="1"/>
    <row r="93" spans="3:15" hidden="1"/>
    <row r="94" spans="3:15">
      <c r="C94" s="444" t="s">
        <v>1616</v>
      </c>
    </row>
    <row r="95" spans="3:15" ht="6.95" customHeight="1"/>
    <row r="96" spans="3:15">
      <c r="C96" s="939" t="s">
        <v>1595</v>
      </c>
      <c r="D96" s="941" t="s">
        <v>1596</v>
      </c>
      <c r="E96" s="942"/>
      <c r="F96" s="945" t="s">
        <v>1600</v>
      </c>
      <c r="G96" s="946"/>
      <c r="H96" s="947"/>
      <c r="I96" s="429" t="s">
        <v>1597</v>
      </c>
      <c r="O96" s="463" t="s">
        <v>1614</v>
      </c>
    </row>
    <row r="97" spans="3:15">
      <c r="C97" s="940"/>
      <c r="D97" s="958" t="str">
        <f>O97</f>
        <v>-</v>
      </c>
      <c r="E97" s="959"/>
      <c r="F97" s="960" t="str">
        <f>IFERROR(IF(D97=$P$4,"CRCO correction factor May 2019 (on 12 months)","Other"),"-")</f>
        <v>-</v>
      </c>
      <c r="G97" s="961"/>
      <c r="H97" s="962"/>
      <c r="I97" s="2"/>
      <c r="O97" s="464" t="str">
        <f>IFERROR(INDEX(Table_CRCO_Factor[May 2019 (based on 12 months)],MATCH($O$4,Table_CRCO_Factor[ECZ],0)),"-")</f>
        <v>-</v>
      </c>
    </row>
    <row r="98" spans="3:15" ht="30" hidden="1" customHeight="1">
      <c r="C98" s="925" t="s">
        <v>1580</v>
      </c>
      <c r="D98" s="926"/>
      <c r="E98" s="926"/>
      <c r="F98" s="926"/>
      <c r="G98" s="926"/>
      <c r="H98" s="926"/>
      <c r="I98" s="927"/>
    </row>
    <row r="100" spans="3:15">
      <c r="C100" s="428" t="s">
        <v>1598</v>
      </c>
      <c r="D100" s="317" t="s">
        <v>240</v>
      </c>
    </row>
    <row r="101" spans="3:15" hidden="1">
      <c r="C101" s="931" t="s">
        <v>1581</v>
      </c>
      <c r="D101" s="932"/>
      <c r="H101" s="429" t="s">
        <v>1597</v>
      </c>
      <c r="I101" s="2"/>
    </row>
    <row r="102" spans="3:15" hidden="1">
      <c r="C102" s="922" t="s">
        <v>1579</v>
      </c>
      <c r="D102" s="923"/>
      <c r="E102" s="923"/>
      <c r="F102" s="923"/>
      <c r="G102" s="923"/>
      <c r="H102" s="923"/>
      <c r="I102" s="924"/>
    </row>
    <row r="103" spans="3:15" hidden="1">
      <c r="C103" s="925" t="s">
        <v>1580</v>
      </c>
      <c r="D103" s="926"/>
      <c r="E103" s="926"/>
      <c r="F103" s="926"/>
      <c r="G103" s="926"/>
      <c r="H103" s="926"/>
      <c r="I103" s="927"/>
    </row>
    <row r="105" spans="3:15">
      <c r="C105" s="951" t="s">
        <v>1599</v>
      </c>
      <c r="D105" s="952"/>
      <c r="E105" s="952"/>
      <c r="F105" s="952"/>
      <c r="G105" s="952"/>
      <c r="H105" s="953"/>
      <c r="I105" s="442">
        <f>I101+I97</f>
        <v>0</v>
      </c>
      <c r="O105" s="462" t="str">
        <f>IFERROR(IF(ROUND(I105/100,0)&lt;&gt;ROUND(H33/100,0),"The service units total adjustment does not match the figure in section b)",""),"")</f>
        <v/>
      </c>
    </row>
    <row r="106" spans="3:15" hidden="1"/>
    <row r="108" spans="3:15">
      <c r="C108" s="444" t="s">
        <v>1617</v>
      </c>
      <c r="F108" s="920" t="s">
        <v>1572</v>
      </c>
      <c r="G108" s="920"/>
      <c r="H108" s="921" t="s">
        <v>240</v>
      </c>
      <c r="I108" s="921"/>
    </row>
    <row r="110" spans="3:15" hidden="1">
      <c r="C110" s="428" t="s">
        <v>1573</v>
      </c>
      <c r="D110" s="429" t="s">
        <v>259</v>
      </c>
      <c r="E110" s="429" t="s">
        <v>1574</v>
      </c>
      <c r="F110" s="429" t="s">
        <v>1575</v>
      </c>
      <c r="G110" s="429" t="s">
        <v>1576</v>
      </c>
      <c r="H110" s="429" t="s">
        <v>1577</v>
      </c>
      <c r="I110" s="429" t="s">
        <v>1578</v>
      </c>
    </row>
    <row r="111" spans="3:15" hidden="1">
      <c r="C111" s="430" t="s">
        <v>1581</v>
      </c>
      <c r="D111" s="430"/>
      <c r="E111" s="156" t="s">
        <v>240</v>
      </c>
      <c r="F111" s="431" t="s">
        <v>240</v>
      </c>
      <c r="G111" s="432"/>
      <c r="H111" s="434" t="str">
        <f>IF(OR(E111="Click to select",F111="Click to select"),"-",IF(OR(E111="ANSP",E111="MET"),IF(OR(F111="Staff",F111="Other operating",F111="Exceptional items"),G111/(INDEX(Table_Inflation_IDX_ECZ[Inflation Index 2019 Actual],MATCH($O$4,Table_Inflation_IDX_ECZ[ER_CZ],0))/100),G111),G111))</f>
        <v>-</v>
      </c>
      <c r="I111" s="434" t="str">
        <f>IFERROR(H111/$E$23,"-")</f>
        <v>-</v>
      </c>
    </row>
    <row r="112" spans="3:15" hidden="1">
      <c r="C112" s="922" t="s">
        <v>1579</v>
      </c>
      <c r="D112" s="923"/>
      <c r="E112" s="923"/>
      <c r="F112" s="923"/>
      <c r="G112" s="923"/>
      <c r="H112" s="923"/>
      <c r="I112" s="924"/>
    </row>
    <row r="113" spans="3:9" ht="30" hidden="1" customHeight="1">
      <c r="C113" s="925" t="s">
        <v>1580</v>
      </c>
      <c r="D113" s="926"/>
      <c r="E113" s="926"/>
      <c r="F113" s="926"/>
      <c r="G113" s="926"/>
      <c r="H113" s="926"/>
      <c r="I113" s="927"/>
    </row>
    <row r="114" spans="3:9" hidden="1"/>
    <row r="115" spans="3:9" hidden="1">
      <c r="C115" s="428" t="s">
        <v>1582</v>
      </c>
      <c r="D115" s="429" t="s">
        <v>259</v>
      </c>
      <c r="E115" s="429" t="s">
        <v>1574</v>
      </c>
      <c r="F115" s="429" t="s">
        <v>1575</v>
      </c>
      <c r="G115" s="429" t="s">
        <v>1576</v>
      </c>
      <c r="H115" s="429" t="s">
        <v>1577</v>
      </c>
      <c r="I115" s="429" t="s">
        <v>1578</v>
      </c>
    </row>
    <row r="116" spans="3:9" hidden="1">
      <c r="C116" s="430" t="s">
        <v>1581</v>
      </c>
      <c r="D116" s="430"/>
      <c r="E116" s="156" t="s">
        <v>240</v>
      </c>
      <c r="F116" s="431" t="s">
        <v>240</v>
      </c>
      <c r="G116" s="432"/>
      <c r="H116" s="434" t="str">
        <f>IF(OR(E116="Click to select",F116="Click to select"),"-",IF(OR(E116="ANSP",E116="MET"),IF(OR(F116="Staff",F116="Other operating",F116="Exceptional items"),G116/(INDEX(Table_Inflation_IDX_ECZ[Inflation Index 2019 Actual],MATCH($O$4,Table_Inflation_IDX_ECZ[ER_CZ],0))/100),G116),G116))</f>
        <v>-</v>
      </c>
      <c r="I116" s="434" t="str">
        <f>IFERROR(H116/$E$23,"-")</f>
        <v>-</v>
      </c>
    </row>
    <row r="117" spans="3:9" hidden="1">
      <c r="C117" s="922" t="s">
        <v>1579</v>
      </c>
      <c r="D117" s="923"/>
      <c r="E117" s="923"/>
      <c r="F117" s="923"/>
      <c r="G117" s="923"/>
      <c r="H117" s="923"/>
      <c r="I117" s="924"/>
    </row>
    <row r="118" spans="3:9" ht="30" hidden="1" customHeight="1">
      <c r="C118" s="925" t="s">
        <v>1580</v>
      </c>
      <c r="D118" s="926"/>
      <c r="E118" s="926"/>
      <c r="F118" s="926"/>
      <c r="G118" s="926"/>
      <c r="H118" s="926"/>
      <c r="I118" s="927"/>
    </row>
    <row r="119" spans="3:9" hidden="1"/>
    <row r="120" spans="3:9" hidden="1">
      <c r="C120" s="428" t="s">
        <v>1583</v>
      </c>
      <c r="D120" s="429" t="s">
        <v>259</v>
      </c>
      <c r="E120" s="429" t="s">
        <v>1574</v>
      </c>
      <c r="F120" s="429" t="s">
        <v>1575</v>
      </c>
      <c r="G120" s="429" t="s">
        <v>1576</v>
      </c>
      <c r="H120" s="429" t="s">
        <v>1577</v>
      </c>
      <c r="I120" s="429" t="s">
        <v>1578</v>
      </c>
    </row>
    <row r="121" spans="3:9" hidden="1">
      <c r="C121" s="430" t="s">
        <v>1581</v>
      </c>
      <c r="D121" s="430"/>
      <c r="E121" s="156" t="s">
        <v>240</v>
      </c>
      <c r="F121" s="431" t="s">
        <v>240</v>
      </c>
      <c r="G121" s="432"/>
      <c r="H121" s="434" t="str">
        <f>IF(OR(E121="Click to select",F121="Click to select"),"-",IF(OR(E121="ANSP",E121="MET"),IF(OR(F121="Staff",F121="Other operating",F121="Exceptional items"),G121/(INDEX(Table_Inflation_IDX_ECZ[Inflation Index 2019 Actual],MATCH($O$4,Table_Inflation_IDX_ECZ[ER_CZ],0))/100),G121),G121))</f>
        <v>-</v>
      </c>
      <c r="I121" s="434" t="str">
        <f>IFERROR(H121/$E$23,"-")</f>
        <v>-</v>
      </c>
    </row>
    <row r="122" spans="3:9" hidden="1">
      <c r="C122" s="922" t="s">
        <v>1579</v>
      </c>
      <c r="D122" s="923"/>
      <c r="E122" s="923"/>
      <c r="F122" s="923"/>
      <c r="G122" s="923"/>
      <c r="H122" s="923"/>
      <c r="I122" s="924"/>
    </row>
    <row r="123" spans="3:9" ht="30" hidden="1" customHeight="1">
      <c r="C123" s="925" t="s">
        <v>1580</v>
      </c>
      <c r="D123" s="926"/>
      <c r="E123" s="926"/>
      <c r="F123" s="926"/>
      <c r="G123" s="926"/>
      <c r="H123" s="926"/>
      <c r="I123" s="927"/>
    </row>
    <row r="124" spans="3:9" hidden="1"/>
    <row r="125" spans="3:9" hidden="1">
      <c r="C125" s="428" t="s">
        <v>1584</v>
      </c>
      <c r="D125" s="429" t="s">
        <v>259</v>
      </c>
      <c r="E125" s="429" t="s">
        <v>1574</v>
      </c>
      <c r="F125" s="429" t="s">
        <v>1575</v>
      </c>
      <c r="G125" s="429" t="s">
        <v>1576</v>
      </c>
      <c r="H125" s="429" t="s">
        <v>1577</v>
      </c>
      <c r="I125" s="429" t="s">
        <v>1578</v>
      </c>
    </row>
    <row r="126" spans="3:9" hidden="1">
      <c r="C126" s="430" t="s">
        <v>1581</v>
      </c>
      <c r="D126" s="430"/>
      <c r="E126" s="156" t="s">
        <v>240</v>
      </c>
      <c r="F126" s="431" t="s">
        <v>240</v>
      </c>
      <c r="G126" s="432"/>
      <c r="H126" s="434" t="str">
        <f>IF(OR(E126="Click to select",F126="Click to select"),"-",IF(OR(E126="ANSP",E126="MET"),IF(OR(F126="Staff",F126="Other operating",F126="Exceptional items"),G126/(INDEX(Table_Inflation_IDX_ECZ[Inflation Index 2019 Actual],MATCH($O$4,Table_Inflation_IDX_ECZ[ER_CZ],0))/100),G126),G126))</f>
        <v>-</v>
      </c>
      <c r="I126" s="434" t="str">
        <f>IFERROR(H126/$E$23,"-")</f>
        <v>-</v>
      </c>
    </row>
    <row r="127" spans="3:9" hidden="1">
      <c r="C127" s="922" t="s">
        <v>1579</v>
      </c>
      <c r="D127" s="923"/>
      <c r="E127" s="923"/>
      <c r="F127" s="923"/>
      <c r="G127" s="923"/>
      <c r="H127" s="923"/>
      <c r="I127" s="924"/>
    </row>
    <row r="128" spans="3:9" ht="30" hidden="1" customHeight="1">
      <c r="C128" s="925" t="s">
        <v>1580</v>
      </c>
      <c r="D128" s="926"/>
      <c r="E128" s="926"/>
      <c r="F128" s="926"/>
      <c r="G128" s="926"/>
      <c r="H128" s="926"/>
      <c r="I128" s="927"/>
    </row>
    <row r="129" spans="3:9" hidden="1"/>
    <row r="130" spans="3:9" hidden="1">
      <c r="C130" s="428" t="s">
        <v>1585</v>
      </c>
      <c r="D130" s="429" t="s">
        <v>259</v>
      </c>
      <c r="E130" s="429" t="s">
        <v>1574</v>
      </c>
      <c r="F130" s="429" t="s">
        <v>1575</v>
      </c>
      <c r="G130" s="429" t="s">
        <v>1576</v>
      </c>
      <c r="H130" s="429" t="s">
        <v>1577</v>
      </c>
      <c r="I130" s="429" t="s">
        <v>1578</v>
      </c>
    </row>
    <row r="131" spans="3:9" hidden="1">
      <c r="C131" s="430" t="s">
        <v>1581</v>
      </c>
      <c r="D131" s="430"/>
      <c r="E131" s="156" t="s">
        <v>240</v>
      </c>
      <c r="F131" s="431" t="s">
        <v>240</v>
      </c>
      <c r="G131" s="432"/>
      <c r="H131" s="434" t="str">
        <f>IF(OR(E131="Click to select",F131="Click to select"),"-",IF(OR(E131="ANSP",E131="MET"),IF(OR(F131="Staff",F131="Other operating",F131="Exceptional items"),G131/(INDEX(Table_Inflation_IDX_ECZ[Inflation Index 2019 Actual],MATCH($O$4,Table_Inflation_IDX_ECZ[ER_CZ],0))/100),G131),G131))</f>
        <v>-</v>
      </c>
      <c r="I131" s="434" t="str">
        <f>IFERROR(H131/$E$23,"-")</f>
        <v>-</v>
      </c>
    </row>
    <row r="132" spans="3:9" hidden="1">
      <c r="C132" s="922" t="s">
        <v>1579</v>
      </c>
      <c r="D132" s="923"/>
      <c r="E132" s="923"/>
      <c r="F132" s="923"/>
      <c r="G132" s="923"/>
      <c r="H132" s="923"/>
      <c r="I132" s="924"/>
    </row>
    <row r="133" spans="3:9" ht="30" hidden="1" customHeight="1">
      <c r="C133" s="925" t="s">
        <v>1580</v>
      </c>
      <c r="D133" s="926"/>
      <c r="E133" s="926"/>
      <c r="F133" s="926"/>
      <c r="G133" s="926"/>
      <c r="H133" s="926"/>
      <c r="I133" s="927"/>
    </row>
    <row r="134" spans="3:9" hidden="1"/>
    <row r="135" spans="3:9" hidden="1">
      <c r="C135" s="428" t="s">
        <v>1586</v>
      </c>
      <c r="D135" s="429" t="s">
        <v>259</v>
      </c>
      <c r="E135" s="429" t="s">
        <v>1574</v>
      </c>
      <c r="F135" s="429" t="s">
        <v>1575</v>
      </c>
      <c r="G135" s="429" t="s">
        <v>1576</v>
      </c>
      <c r="H135" s="429" t="s">
        <v>1577</v>
      </c>
      <c r="I135" s="429" t="s">
        <v>1578</v>
      </c>
    </row>
    <row r="136" spans="3:9" hidden="1">
      <c r="C136" s="430" t="s">
        <v>1581</v>
      </c>
      <c r="D136" s="430"/>
      <c r="E136" s="156" t="s">
        <v>240</v>
      </c>
      <c r="F136" s="431" t="s">
        <v>240</v>
      </c>
      <c r="G136" s="432"/>
      <c r="H136" s="434" t="str">
        <f>IF(OR(E136="Click to select",F136="Click to select"),"-",IF(OR(E136="ANSP",E136="MET"),IF(OR(F136="Staff",F136="Other operating",F136="Exceptional items"),G136/(INDEX(Table_Inflation_IDX_ECZ[Inflation Index 2019 Actual],MATCH($O$4,Table_Inflation_IDX_ECZ[ER_CZ],0))/100),G136),G136))</f>
        <v>-</v>
      </c>
      <c r="I136" s="434" t="str">
        <f>IFERROR(H136/$E$23,"-")</f>
        <v>-</v>
      </c>
    </row>
    <row r="137" spans="3:9" hidden="1">
      <c r="C137" s="922" t="s">
        <v>1579</v>
      </c>
      <c r="D137" s="923"/>
      <c r="E137" s="923"/>
      <c r="F137" s="923"/>
      <c r="G137" s="923"/>
      <c r="H137" s="923"/>
      <c r="I137" s="924"/>
    </row>
    <row r="138" spans="3:9" ht="30" hidden="1" customHeight="1">
      <c r="C138" s="925" t="s">
        <v>1580</v>
      </c>
      <c r="D138" s="926"/>
      <c r="E138" s="926"/>
      <c r="F138" s="926"/>
      <c r="G138" s="926"/>
      <c r="H138" s="926"/>
      <c r="I138" s="927"/>
    </row>
    <row r="139" spans="3:9" hidden="1"/>
    <row r="140" spans="3:9" hidden="1">
      <c r="C140" s="428" t="s">
        <v>1587</v>
      </c>
      <c r="D140" s="429" t="s">
        <v>259</v>
      </c>
      <c r="E140" s="429" t="s">
        <v>1574</v>
      </c>
      <c r="F140" s="429" t="s">
        <v>1575</v>
      </c>
      <c r="G140" s="429" t="s">
        <v>1576</v>
      </c>
      <c r="H140" s="429" t="s">
        <v>1577</v>
      </c>
      <c r="I140" s="429" t="s">
        <v>1578</v>
      </c>
    </row>
    <row r="141" spans="3:9" hidden="1">
      <c r="C141" s="430" t="s">
        <v>1581</v>
      </c>
      <c r="D141" s="430"/>
      <c r="E141" s="156" t="s">
        <v>240</v>
      </c>
      <c r="F141" s="431" t="s">
        <v>240</v>
      </c>
      <c r="G141" s="432"/>
      <c r="H141" s="434" t="str">
        <f>IF(OR(E141="Click to select",F141="Click to select"),"-",IF(OR(E141="ANSP",E141="MET"),IF(OR(F141="Staff",F141="Other operating",F141="Exceptional items"),G141/(INDEX(Table_Inflation_IDX_ECZ[Inflation Index 2019 Actual],MATCH($O$4,Table_Inflation_IDX_ECZ[ER_CZ],0))/100),G141),G141))</f>
        <v>-</v>
      </c>
      <c r="I141" s="434" t="str">
        <f>IFERROR(H141/$E$23,"-")</f>
        <v>-</v>
      </c>
    </row>
    <row r="142" spans="3:9" hidden="1">
      <c r="C142" s="922" t="s">
        <v>1579</v>
      </c>
      <c r="D142" s="923"/>
      <c r="E142" s="923"/>
      <c r="F142" s="923"/>
      <c r="G142" s="923"/>
      <c r="H142" s="923"/>
      <c r="I142" s="924"/>
    </row>
    <row r="143" spans="3:9" ht="30" hidden="1" customHeight="1">
      <c r="C143" s="925" t="s">
        <v>1580</v>
      </c>
      <c r="D143" s="926"/>
      <c r="E143" s="926"/>
      <c r="F143" s="926"/>
      <c r="G143" s="926"/>
      <c r="H143" s="926"/>
      <c r="I143" s="927"/>
    </row>
    <row r="144" spans="3:9" hidden="1"/>
    <row r="145" spans="3:15" hidden="1">
      <c r="C145" s="428" t="s">
        <v>1588</v>
      </c>
      <c r="D145" s="429" t="s">
        <v>259</v>
      </c>
      <c r="E145" s="429" t="s">
        <v>1574</v>
      </c>
      <c r="F145" s="429" t="s">
        <v>1575</v>
      </c>
      <c r="G145" s="429" t="s">
        <v>1576</v>
      </c>
      <c r="H145" s="429" t="s">
        <v>1577</v>
      </c>
      <c r="I145" s="429" t="s">
        <v>1578</v>
      </c>
    </row>
    <row r="146" spans="3:15" hidden="1">
      <c r="C146" s="430" t="s">
        <v>1581</v>
      </c>
      <c r="D146" s="430"/>
      <c r="E146" s="156" t="s">
        <v>240</v>
      </c>
      <c r="F146" s="431" t="s">
        <v>240</v>
      </c>
      <c r="G146" s="432"/>
      <c r="H146" s="434" t="str">
        <f>IF(OR(E146="Click to select",F146="Click to select"),"-",IF(OR(E146="ANSP",E146="MET"),IF(OR(F146="Staff",F146="Other operating",F146="Exceptional items"),G146/(INDEX(Table_Inflation_IDX_ECZ[Inflation Index 2019 Actual],MATCH($O$4,Table_Inflation_IDX_ECZ[ER_CZ],0))/100),G146),G146))</f>
        <v>-</v>
      </c>
      <c r="I146" s="434" t="str">
        <f>IFERROR(H146/$E$23,"-")</f>
        <v>-</v>
      </c>
    </row>
    <row r="147" spans="3:15" hidden="1">
      <c r="C147" s="922" t="s">
        <v>1579</v>
      </c>
      <c r="D147" s="923"/>
      <c r="E147" s="923"/>
      <c r="F147" s="923"/>
      <c r="G147" s="923"/>
      <c r="H147" s="923"/>
      <c r="I147" s="924"/>
    </row>
    <row r="148" spans="3:15" ht="30" hidden="1" customHeight="1">
      <c r="C148" s="925" t="s">
        <v>1580</v>
      </c>
      <c r="D148" s="926"/>
      <c r="E148" s="926"/>
      <c r="F148" s="926"/>
      <c r="G148" s="926"/>
      <c r="H148" s="926"/>
      <c r="I148" s="927"/>
    </row>
    <row r="149" spans="3:15" hidden="1"/>
    <row r="150" spans="3:15" hidden="1">
      <c r="C150" s="428" t="s">
        <v>1589</v>
      </c>
      <c r="D150" s="429" t="s">
        <v>259</v>
      </c>
      <c r="E150" s="429" t="s">
        <v>1574</v>
      </c>
      <c r="F150" s="429" t="s">
        <v>1575</v>
      </c>
      <c r="G150" s="429" t="s">
        <v>1576</v>
      </c>
      <c r="H150" s="429" t="s">
        <v>1577</v>
      </c>
      <c r="I150" s="429" t="s">
        <v>1578</v>
      </c>
    </row>
    <row r="151" spans="3:15" hidden="1">
      <c r="C151" s="430" t="s">
        <v>1581</v>
      </c>
      <c r="D151" s="430"/>
      <c r="E151" s="156" t="s">
        <v>240</v>
      </c>
      <c r="F151" s="431" t="s">
        <v>240</v>
      </c>
      <c r="G151" s="432"/>
      <c r="H151" s="434" t="str">
        <f>IF(OR(E151="Click to select",F151="Click to select"),"-",IF(OR(E151="ANSP",E151="MET"),IF(OR(F151="Staff",F151="Other operating",F151="Exceptional items"),G151/(INDEX(Table_Inflation_IDX_ECZ[Inflation Index 2019 Actual],MATCH($O$4,Table_Inflation_IDX_ECZ[ER_CZ],0))/100),G151),G151))</f>
        <v>-</v>
      </c>
      <c r="I151" s="434" t="str">
        <f>IFERROR(H151/$E$23,"-")</f>
        <v>-</v>
      </c>
    </row>
    <row r="152" spans="3:15" hidden="1">
      <c r="C152" s="922" t="s">
        <v>1579</v>
      </c>
      <c r="D152" s="923"/>
      <c r="E152" s="923"/>
      <c r="F152" s="923"/>
      <c r="G152" s="923"/>
      <c r="H152" s="923"/>
      <c r="I152" s="924"/>
    </row>
    <row r="153" spans="3:15" ht="30" hidden="1" customHeight="1">
      <c r="C153" s="925" t="s">
        <v>1580</v>
      </c>
      <c r="D153" s="926"/>
      <c r="E153" s="926"/>
      <c r="F153" s="926"/>
      <c r="G153" s="926"/>
      <c r="H153" s="926"/>
      <c r="I153" s="927"/>
    </row>
    <row r="154" spans="3:15" hidden="1"/>
    <row r="155" spans="3:15" hidden="1">
      <c r="C155" s="428" t="s">
        <v>1590</v>
      </c>
      <c r="D155" s="429" t="s">
        <v>259</v>
      </c>
      <c r="E155" s="429" t="s">
        <v>1574</v>
      </c>
      <c r="F155" s="429" t="s">
        <v>1575</v>
      </c>
      <c r="G155" s="429" t="s">
        <v>1576</v>
      </c>
      <c r="H155" s="429" t="s">
        <v>1577</v>
      </c>
      <c r="I155" s="429" t="s">
        <v>1578</v>
      </c>
    </row>
    <row r="156" spans="3:15" hidden="1">
      <c r="C156" s="430" t="s">
        <v>1581</v>
      </c>
      <c r="D156" s="430"/>
      <c r="E156" s="156" t="s">
        <v>240</v>
      </c>
      <c r="F156" s="431" t="s">
        <v>240</v>
      </c>
      <c r="G156" s="432"/>
      <c r="H156" s="434" t="str">
        <f>IF(OR(E156="Click to select",F156="Click to select"),"-",IF(OR(E156="ANSP",E156="MET"),IF(OR(F156="Staff",F156="Other operating",F156="Exceptional items"),G156/(INDEX(Table_Inflation_IDX_ECZ[Inflation Index 2019 Actual],MATCH($O$4,Table_Inflation_IDX_ECZ[ER_CZ],0))/100),G156),G156))</f>
        <v>-</v>
      </c>
      <c r="I156" s="434" t="str">
        <f>IFERROR(H156/$E$23,"-")</f>
        <v>-</v>
      </c>
    </row>
    <row r="157" spans="3:15" hidden="1">
      <c r="C157" s="922" t="s">
        <v>1579</v>
      </c>
      <c r="D157" s="923"/>
      <c r="E157" s="923"/>
      <c r="F157" s="923"/>
      <c r="G157" s="923"/>
      <c r="H157" s="923"/>
      <c r="I157" s="924"/>
    </row>
    <row r="158" spans="3:15" ht="30" hidden="1" customHeight="1">
      <c r="C158" s="925" t="s">
        <v>1580</v>
      </c>
      <c r="D158" s="926"/>
      <c r="E158" s="926"/>
      <c r="F158" s="926"/>
      <c r="G158" s="926"/>
      <c r="H158" s="926"/>
      <c r="I158" s="927"/>
    </row>
    <row r="159" spans="3:15" hidden="1"/>
    <row r="160" spans="3:15" hidden="1">
      <c r="C160" s="933" t="s">
        <v>1618</v>
      </c>
      <c r="D160" s="934"/>
      <c r="E160" s="934"/>
      <c r="F160" s="935"/>
      <c r="G160" s="433" t="s">
        <v>1576</v>
      </c>
      <c r="H160" s="433" t="s">
        <v>1577</v>
      </c>
      <c r="I160" s="433" t="s">
        <v>1578</v>
      </c>
      <c r="O160" s="462" t="str">
        <f>IFERROR(IF(ROUND(G161/100,0)&lt;&gt;ROUND(I30/100,0),"The total adjustment in nominal NC does not match the figure in section b)",""),"")</f>
        <v/>
      </c>
    </row>
    <row r="161" spans="3:15" hidden="1">
      <c r="C161" s="936"/>
      <c r="D161" s="937"/>
      <c r="E161" s="937"/>
      <c r="F161" s="938"/>
      <c r="G161" s="435" t="str">
        <f>IF(G156+G151+G146+G141+G136+G131+G126+G121+G116+G111=0,"-",G156+G151+G146+G141+G136+G131+G126+G121+G116+G111)</f>
        <v>-</v>
      </c>
      <c r="H161" s="435" t="str">
        <f>IFERROR(H156+H151+H146+H141+H136+H131+H126+H121+H116+H111,"-")</f>
        <v>-</v>
      </c>
      <c r="I161" s="435" t="str">
        <f>IFERROR(I156+I151+I146+I141+I136+I131+I126+I121+I116+I111,"-")</f>
        <v>-</v>
      </c>
      <c r="O161" s="462" t="str">
        <f>IFERROR(IF(ROUND(H161/100,0)&lt;&gt;ROUND(I31/100,0),"The total adjustment in real NC does not match the figure in section b)",""),"")</f>
        <v/>
      </c>
    </row>
    <row r="162" spans="3:15" hidden="1"/>
    <row r="164" spans="3:15">
      <c r="C164" s="444" t="s">
        <v>1620</v>
      </c>
    </row>
    <row r="165" spans="3:15" ht="6.95" customHeight="1"/>
    <row r="166" spans="3:15">
      <c r="C166" s="939" t="s">
        <v>1595</v>
      </c>
      <c r="D166" s="941" t="s">
        <v>1596</v>
      </c>
      <c r="E166" s="942"/>
      <c r="F166" s="945" t="s">
        <v>1600</v>
      </c>
      <c r="G166" s="946"/>
      <c r="H166" s="947"/>
      <c r="I166" s="429" t="s">
        <v>1597</v>
      </c>
      <c r="O166" s="463" t="s">
        <v>1614</v>
      </c>
    </row>
    <row r="167" spans="3:15">
      <c r="C167" s="940"/>
      <c r="D167" s="958" t="str">
        <f>O167</f>
        <v>-</v>
      </c>
      <c r="E167" s="959"/>
      <c r="F167" s="960" t="str">
        <f>IFERROR(IF(D167=$P$4,"CRCO correction factor May 2019 (on 12 months)","Other"),"-")</f>
        <v>-</v>
      </c>
      <c r="G167" s="961"/>
      <c r="H167" s="962"/>
      <c r="I167" s="2"/>
      <c r="O167" s="464" t="str">
        <f>IFERROR(INDEX(Table_CRCO_Factor[May 2019 (based on 12 months)],MATCH($O$4,Table_CRCO_Factor[ECZ],0)),"-")</f>
        <v>-</v>
      </c>
    </row>
    <row r="168" spans="3:15" ht="30" hidden="1" customHeight="1">
      <c r="C168" s="925" t="s">
        <v>1580</v>
      </c>
      <c r="D168" s="926"/>
      <c r="E168" s="926"/>
      <c r="F168" s="926"/>
      <c r="G168" s="926"/>
      <c r="H168" s="926"/>
      <c r="I168" s="927"/>
    </row>
    <row r="170" spans="3:15">
      <c r="C170" s="428" t="s">
        <v>1619</v>
      </c>
      <c r="D170" s="317" t="s">
        <v>240</v>
      </c>
    </row>
    <row r="171" spans="3:15" hidden="1">
      <c r="C171" s="931" t="s">
        <v>1581</v>
      </c>
      <c r="D171" s="932"/>
      <c r="H171" s="429" t="s">
        <v>1597</v>
      </c>
      <c r="I171" s="2"/>
    </row>
    <row r="172" spans="3:15" hidden="1">
      <c r="C172" s="922" t="s">
        <v>1579</v>
      </c>
      <c r="D172" s="923"/>
      <c r="E172" s="923"/>
      <c r="F172" s="923"/>
      <c r="G172" s="923"/>
      <c r="H172" s="923"/>
      <c r="I172" s="924"/>
    </row>
    <row r="173" spans="3:15" hidden="1">
      <c r="C173" s="925" t="s">
        <v>1580</v>
      </c>
      <c r="D173" s="926"/>
      <c r="E173" s="926"/>
      <c r="F173" s="926"/>
      <c r="G173" s="926"/>
      <c r="H173" s="926"/>
      <c r="I173" s="927"/>
    </row>
    <row r="175" spans="3:15">
      <c r="C175" s="951" t="s">
        <v>1621</v>
      </c>
      <c r="D175" s="952"/>
      <c r="E175" s="952"/>
      <c r="F175" s="952"/>
      <c r="G175" s="952"/>
      <c r="H175" s="953"/>
      <c r="I175" s="442">
        <f>I171+I167</f>
        <v>0</v>
      </c>
      <c r="O175" s="462" t="str">
        <f>IFERROR(IF(ROUND(I175/100,0)&lt;&gt;ROUND(I33/100,0),"The service units total adjustment does not match the figure in section b)",""),"")</f>
        <v/>
      </c>
    </row>
    <row r="176" spans="3:15" ht="9" customHeight="1"/>
    <row r="177" spans="3:9" ht="9" customHeight="1"/>
    <row r="178" spans="3:9">
      <c r="C178" s="76" t="s">
        <v>1726</v>
      </c>
    </row>
    <row r="179" spans="3:9" ht="7.5" customHeight="1"/>
    <row r="180" spans="3:9" ht="60" customHeight="1">
      <c r="C180" s="979"/>
      <c r="D180" s="980"/>
      <c r="E180" s="980"/>
      <c r="F180" s="980"/>
      <c r="G180" s="980"/>
      <c r="H180" s="980"/>
      <c r="I180" s="981"/>
    </row>
    <row r="181" spans="3:9">
      <c r="C181" s="300" t="s">
        <v>1424</v>
      </c>
      <c r="D181" s="152"/>
      <c r="E181" s="152"/>
      <c r="F181" s="152"/>
      <c r="G181" s="152"/>
      <c r="H181" s="152"/>
      <c r="I181" s="152"/>
    </row>
    <row r="183" spans="3:9">
      <c r="C183" s="76" t="s">
        <v>1727</v>
      </c>
    </row>
    <row r="184" spans="3:9">
      <c r="C184" s="76"/>
    </row>
    <row r="185" spans="3:9">
      <c r="C185" s="951" t="s">
        <v>1622</v>
      </c>
      <c r="D185" s="953"/>
      <c r="E185" s="317" t="s">
        <v>240</v>
      </c>
      <c r="F185" s="941" t="str">
        <f>IF(E185="yes","Detailed in part 3.4.6 of the performance plan","")</f>
        <v/>
      </c>
      <c r="G185" s="982"/>
      <c r="H185" s="982"/>
      <c r="I185" s="942"/>
    </row>
    <row r="186" spans="3:9">
      <c r="C186" s="951" t="s">
        <v>1623</v>
      </c>
      <c r="D186" s="953"/>
      <c r="E186" s="317" t="s">
        <v>240</v>
      </c>
      <c r="F186" s="941" t="str">
        <f>IF(E186="yes","Detailed in part 3.4.5 of the performance plan","")</f>
        <v/>
      </c>
      <c r="G186" s="982"/>
      <c r="H186" s="982"/>
      <c r="I186" s="942"/>
    </row>
    <row r="188" spans="3:9">
      <c r="C188" s="76"/>
    </row>
    <row r="189" spans="3:9">
      <c r="C189" s="76" t="s">
        <v>1728</v>
      </c>
    </row>
    <row r="190" spans="3:9" ht="7.5" customHeight="1"/>
    <row r="191" spans="3:9" ht="60" customHeight="1">
      <c r="C191" s="979"/>
      <c r="D191" s="980"/>
      <c r="E191" s="980"/>
      <c r="F191" s="980"/>
      <c r="G191" s="980"/>
      <c r="H191" s="980"/>
      <c r="I191" s="981"/>
    </row>
    <row r="192" spans="3:9">
      <c r="C192" s="300" t="s">
        <v>1424</v>
      </c>
      <c r="D192" s="152"/>
      <c r="E192" s="152"/>
      <c r="F192" s="152"/>
      <c r="G192" s="152"/>
      <c r="H192" s="152"/>
      <c r="I192" s="152"/>
    </row>
    <row r="194" spans="3:12" ht="30" customHeight="1">
      <c r="C194" s="969" t="s">
        <v>1729</v>
      </c>
      <c r="D194" s="969"/>
      <c r="E194" s="969"/>
      <c r="F194" s="969"/>
      <c r="G194" s="969"/>
      <c r="H194" s="969"/>
      <c r="I194" s="969"/>
      <c r="J194" s="461"/>
      <c r="K194" s="461"/>
      <c r="L194" s="461"/>
    </row>
    <row r="195" spans="3:12" ht="7.5" customHeight="1"/>
    <row r="196" spans="3:12" ht="60" customHeight="1">
      <c r="C196" s="979"/>
      <c r="D196" s="980"/>
      <c r="E196" s="980"/>
      <c r="F196" s="980"/>
      <c r="G196" s="980"/>
      <c r="H196" s="980"/>
      <c r="I196" s="981"/>
    </row>
    <row r="197" spans="3:12">
      <c r="C197" s="300" t="s">
        <v>1626</v>
      </c>
      <c r="D197" s="152"/>
      <c r="E197" s="152"/>
      <c r="F197" s="152"/>
      <c r="G197" s="152"/>
      <c r="H197" s="152"/>
      <c r="I197" s="152"/>
    </row>
  </sheetData>
  <mergeCells count="74">
    <mergeCell ref="C58:I58"/>
    <mergeCell ref="F38:G38"/>
    <mergeCell ref="H38:I38"/>
    <mergeCell ref="C42:I42"/>
    <mergeCell ref="C43:I43"/>
    <mergeCell ref="C47:I47"/>
    <mergeCell ref="C48:I48"/>
    <mergeCell ref="C52:I52"/>
    <mergeCell ref="C53:I53"/>
    <mergeCell ref="C57:I57"/>
    <mergeCell ref="C88:I88"/>
    <mergeCell ref="C62:I62"/>
    <mergeCell ref="C63:I63"/>
    <mergeCell ref="C67:I67"/>
    <mergeCell ref="C68:I68"/>
    <mergeCell ref="C72:I72"/>
    <mergeCell ref="C73:I73"/>
    <mergeCell ref="C77:I77"/>
    <mergeCell ref="C78:I78"/>
    <mergeCell ref="C82:I82"/>
    <mergeCell ref="C83:I83"/>
    <mergeCell ref="C87:I87"/>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80:I180"/>
    <mergeCell ref="C153:I153"/>
    <mergeCell ref="C127:I127"/>
    <mergeCell ref="C128:I128"/>
    <mergeCell ref="C132:I132"/>
    <mergeCell ref="C133:I133"/>
    <mergeCell ref="C137:I137"/>
    <mergeCell ref="C138:I138"/>
    <mergeCell ref="C142:I142"/>
    <mergeCell ref="C143:I143"/>
    <mergeCell ref="C147:I147"/>
    <mergeCell ref="C148:I148"/>
    <mergeCell ref="C152:I152"/>
    <mergeCell ref="C168:I168"/>
    <mergeCell ref="C171:D171"/>
    <mergeCell ref="C172:I172"/>
    <mergeCell ref="C173:I173"/>
    <mergeCell ref="C175:H175"/>
    <mergeCell ref="C157:I157"/>
    <mergeCell ref="C158:I158"/>
    <mergeCell ref="C160:F161"/>
    <mergeCell ref="C166:C167"/>
    <mergeCell ref="D166:E166"/>
    <mergeCell ref="F166:H166"/>
    <mergeCell ref="D167:E167"/>
    <mergeCell ref="F167:H167"/>
    <mergeCell ref="C194:I194"/>
    <mergeCell ref="C196:I196"/>
    <mergeCell ref="C191:I191"/>
    <mergeCell ref="C185:D185"/>
    <mergeCell ref="F185:I185"/>
    <mergeCell ref="C186:D186"/>
    <mergeCell ref="F186:I186"/>
  </mergeCells>
  <conditionalFormatting sqref="H38">
    <cfRule type="expression" dxfId="511" priority="48">
      <formula>$A$2="PRINT"</formula>
    </cfRule>
  </conditionalFormatting>
  <conditionalFormatting sqref="E41">
    <cfRule type="expression" dxfId="510" priority="47">
      <formula>$A$2="PRINT"</formula>
    </cfRule>
  </conditionalFormatting>
  <conditionalFormatting sqref="F41">
    <cfRule type="expression" dxfId="509" priority="46">
      <formula>$A$2="PRINT"</formula>
    </cfRule>
  </conditionalFormatting>
  <conditionalFormatting sqref="E46">
    <cfRule type="expression" dxfId="508" priority="45">
      <formula>$A$2="PRINT"</formula>
    </cfRule>
  </conditionalFormatting>
  <conditionalFormatting sqref="E71">
    <cfRule type="expression" dxfId="507" priority="40">
      <formula>$A$2="PRINT"</formula>
    </cfRule>
  </conditionalFormatting>
  <conditionalFormatting sqref="E51">
    <cfRule type="expression" dxfId="506" priority="44">
      <formula>$A$2="PRINT"</formula>
    </cfRule>
  </conditionalFormatting>
  <conditionalFormatting sqref="E56">
    <cfRule type="expression" dxfId="505" priority="43">
      <formula>$A$2="PRINT"</formula>
    </cfRule>
  </conditionalFormatting>
  <conditionalFormatting sqref="E76">
    <cfRule type="expression" dxfId="504" priority="39">
      <formula>$A$2="PRINT"</formula>
    </cfRule>
  </conditionalFormatting>
  <conditionalFormatting sqref="E61">
    <cfRule type="expression" dxfId="503" priority="42">
      <formula>$A$2="PRINT"</formula>
    </cfRule>
  </conditionalFormatting>
  <conditionalFormatting sqref="E66">
    <cfRule type="expression" dxfId="502" priority="41">
      <formula>$A$2="PRINT"</formula>
    </cfRule>
  </conditionalFormatting>
  <conditionalFormatting sqref="E81">
    <cfRule type="expression" dxfId="501" priority="38">
      <formula>$A$2="PRINT"</formula>
    </cfRule>
  </conditionalFormatting>
  <conditionalFormatting sqref="E86">
    <cfRule type="expression" dxfId="500" priority="37">
      <formula>$A$2="PRINT"</formula>
    </cfRule>
  </conditionalFormatting>
  <conditionalFormatting sqref="F46">
    <cfRule type="expression" dxfId="499" priority="36">
      <formula>$A$2="PRINT"</formula>
    </cfRule>
  </conditionalFormatting>
  <conditionalFormatting sqref="F51">
    <cfRule type="expression" dxfId="498" priority="35">
      <formula>$A$2="PRINT"</formula>
    </cfRule>
  </conditionalFormatting>
  <conditionalFormatting sqref="F56">
    <cfRule type="expression" dxfId="497" priority="34">
      <formula>$A$2="PRINT"</formula>
    </cfRule>
  </conditionalFormatting>
  <conditionalFormatting sqref="F61">
    <cfRule type="expression" dxfId="496" priority="33">
      <formula>$A$2="PRINT"</formula>
    </cfRule>
  </conditionalFormatting>
  <conditionalFormatting sqref="F66">
    <cfRule type="expression" dxfId="495" priority="32">
      <formula>$A$2="PRINT"</formula>
    </cfRule>
  </conditionalFormatting>
  <conditionalFormatting sqref="F71">
    <cfRule type="expression" dxfId="494" priority="31">
      <formula>$A$2="PRINT"</formula>
    </cfRule>
  </conditionalFormatting>
  <conditionalFormatting sqref="F76">
    <cfRule type="expression" dxfId="493" priority="30">
      <formula>$A$2="PRINT"</formula>
    </cfRule>
  </conditionalFormatting>
  <conditionalFormatting sqref="F81">
    <cfRule type="expression" dxfId="492" priority="29">
      <formula>$A$2="PRINT"</formula>
    </cfRule>
  </conditionalFormatting>
  <conditionalFormatting sqref="F86">
    <cfRule type="expression" dxfId="491" priority="28">
      <formula>$A$2="PRINT"</formula>
    </cfRule>
  </conditionalFormatting>
  <conditionalFormatting sqref="D100">
    <cfRule type="expression" dxfId="490" priority="27">
      <formula>$A$2="PRINT"</formula>
    </cfRule>
  </conditionalFormatting>
  <conditionalFormatting sqref="H108">
    <cfRule type="expression" dxfId="489" priority="26">
      <formula>$A$2="PRINT"</formula>
    </cfRule>
  </conditionalFormatting>
  <conditionalFormatting sqref="E111">
    <cfRule type="expression" dxfId="488" priority="25">
      <formula>$A$2="PRINT"</formula>
    </cfRule>
  </conditionalFormatting>
  <conditionalFormatting sqref="F111">
    <cfRule type="expression" dxfId="487" priority="24">
      <formula>$A$2="PRINT"</formula>
    </cfRule>
  </conditionalFormatting>
  <conditionalFormatting sqref="E116">
    <cfRule type="expression" dxfId="486" priority="23">
      <formula>$A$2="PRINT"</formula>
    </cfRule>
  </conditionalFormatting>
  <conditionalFormatting sqref="E141">
    <cfRule type="expression" dxfId="485" priority="18">
      <formula>$A$2="PRINT"</formula>
    </cfRule>
  </conditionalFormatting>
  <conditionalFormatting sqref="E121">
    <cfRule type="expression" dxfId="484" priority="22">
      <formula>$A$2="PRINT"</formula>
    </cfRule>
  </conditionalFormatting>
  <conditionalFormatting sqref="E126">
    <cfRule type="expression" dxfId="483" priority="21">
      <formula>$A$2="PRINT"</formula>
    </cfRule>
  </conditionalFormatting>
  <conditionalFormatting sqref="E146">
    <cfRule type="expression" dxfId="482" priority="17">
      <formula>$A$2="PRINT"</formula>
    </cfRule>
  </conditionalFormatting>
  <conditionalFormatting sqref="E131">
    <cfRule type="expression" dxfId="481" priority="20">
      <formula>$A$2="PRINT"</formula>
    </cfRule>
  </conditionalFormatting>
  <conditionalFormatting sqref="E136">
    <cfRule type="expression" dxfId="480" priority="19">
      <formula>$A$2="PRINT"</formula>
    </cfRule>
  </conditionalFormatting>
  <conditionalFormatting sqref="E151">
    <cfRule type="expression" dxfId="479" priority="16">
      <formula>$A$2="PRINT"</formula>
    </cfRule>
  </conditionalFormatting>
  <conditionalFormatting sqref="E156">
    <cfRule type="expression" dxfId="478" priority="15">
      <formula>$A$2="PRINT"</formula>
    </cfRule>
  </conditionalFormatting>
  <conditionalFormatting sqref="F116">
    <cfRule type="expression" dxfId="477" priority="14">
      <formula>$A$2="PRINT"</formula>
    </cfRule>
  </conditionalFormatting>
  <conditionalFormatting sqref="F121">
    <cfRule type="expression" dxfId="476" priority="13">
      <formula>$A$2="PRINT"</formula>
    </cfRule>
  </conditionalFormatting>
  <conditionalFormatting sqref="F126">
    <cfRule type="expression" dxfId="475" priority="12">
      <formula>$A$2="PRINT"</formula>
    </cfRule>
  </conditionalFormatting>
  <conditionalFormatting sqref="F131">
    <cfRule type="expression" dxfId="474" priority="11">
      <formula>$A$2="PRINT"</formula>
    </cfRule>
  </conditionalFormatting>
  <conditionalFormatting sqref="F136">
    <cfRule type="expression" dxfId="473" priority="10">
      <formula>$A$2="PRINT"</formula>
    </cfRule>
  </conditionalFormatting>
  <conditionalFormatting sqref="F141">
    <cfRule type="expression" dxfId="472" priority="9">
      <formula>$A$2="PRINT"</formula>
    </cfRule>
  </conditionalFormatting>
  <conditionalFormatting sqref="F146">
    <cfRule type="expression" dxfId="471" priority="8">
      <formula>$A$2="PRINT"</formula>
    </cfRule>
  </conditionalFormatting>
  <conditionalFormatting sqref="F151">
    <cfRule type="expression" dxfId="470" priority="7">
      <formula>$A$2="PRINT"</formula>
    </cfRule>
  </conditionalFormatting>
  <conditionalFormatting sqref="F156">
    <cfRule type="expression" dxfId="469" priority="6">
      <formula>$A$2="PRINT"</formula>
    </cfRule>
  </conditionalFormatting>
  <conditionalFormatting sqref="D170">
    <cfRule type="expression" dxfId="468" priority="5">
      <formula>$A$2="PRINT"</formula>
    </cfRule>
  </conditionalFormatting>
  <conditionalFormatting sqref="E185">
    <cfRule type="expression" dxfId="467" priority="2">
      <formula>$A$2="PRINT"</formula>
    </cfRule>
  </conditionalFormatting>
  <conditionalFormatting sqref="E186">
    <cfRule type="expression" dxfId="466" priority="1">
      <formula>$A$2="PRINT"</formula>
    </cfRule>
  </conditionalFormatting>
  <dataValidations count="4">
    <dataValidation type="list" allowBlank="1" showInputMessage="1" showErrorMessage="1" sqref="H38:I38 H108:I108" xr:uid="{00000000-0002-0000-2200-000000000000}">
      <formula1>" Click to select,0,1,2,3,4,5,6,7,8,9,10"</formula1>
    </dataValidation>
    <dataValidation type="list" allowBlank="1" showInputMessage="1" showErrorMessage="1" sqref="E41 E46 E51 E56 E61 E66 E71 E76 E81 E86 E111 E116 E121 E126 E131 E136 E141 E146 E151 E156" xr:uid="{00000000-0002-0000-2200-000001000000}">
      <formula1>" Click to select,ANSP,MET,NSA/EUROCONTROL"</formula1>
    </dataValidation>
    <dataValidation type="list" allowBlank="1" showInputMessage="1" showErrorMessage="1" sqref="F41 F46 F51 F56 F61 F66 F71 F76 F81 F86 F111 F116 F121 F126 F131 F136 F141 F146 F151 F156" xr:uid="{00000000-0002-0000-2200-000002000000}">
      <formula1>" Click to select,Staff,Other operating,Depreciation,Cost of capital,Exceptional items"</formula1>
    </dataValidation>
    <dataValidation type="list" allowBlank="1" showInputMessage="1" showErrorMessage="1" sqref="D100 D170 E185:E187" xr:uid="{00000000-0002-0000-2200-000003000000}">
      <formula1>" Click to select,Yes,No"</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tabColor theme="2" tint="-0.249977111117893"/>
    <pageSetUpPr fitToPage="1"/>
  </sheetPr>
  <dimension ref="A2:R197"/>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3.28515625" customWidth="1"/>
    <col min="4" max="9" width="16.28515625" customWidth="1"/>
    <col min="10" max="10" width="1.28515625" customWidth="1"/>
    <col min="11" max="12" width="14" customWidth="1"/>
    <col min="13" max="13" width="1.42578125" customWidth="1"/>
  </cols>
  <sheetData>
    <row r="2" spans="1:18" ht="18.75" hidden="1">
      <c r="A2" s="365"/>
      <c r="C2" s="42" t="s">
        <v>1058</v>
      </c>
    </row>
    <row r="3" spans="1:18" hidden="1">
      <c r="A3" s="107"/>
      <c r="C3" s="86"/>
    </row>
    <row r="4" spans="1:18" ht="18" thickBot="1">
      <c r="C4" s="32" t="s">
        <v>1008</v>
      </c>
      <c r="D4" s="32"/>
      <c r="E4" s="32"/>
      <c r="F4" s="32"/>
      <c r="G4" s="32"/>
      <c r="H4" s="32"/>
      <c r="I4" s="32"/>
      <c r="J4" s="32"/>
      <c r="K4" s="32"/>
      <c r="L4" s="32"/>
      <c r="O4" s="443" t="str">
        <f>MID($C$6,FIND(" -",$C$6)+3,LEN($C$6)-FIND(" -",$C$6)+1)</f>
        <v/>
      </c>
      <c r="P4" s="443" t="e">
        <f>INDEX(Table_CRCO_Factor[May 2019 (based on 12 months)],MATCH($O$4,Table_CRCO_Factor[ECZ],0))</f>
        <v>#N/A</v>
      </c>
      <c r="Q4" s="443" t="e">
        <f ca="1">IF(AND($F$16&lt;&gt;"",ROUND($F$16/1000,0)&lt;&gt;ROUND('1.2 Traffic forecasts'!$F$73+'1.2 Traffic forecasts'!$G$73,0)),", 2020/2021","")&amp;IF(AND($G$16&lt;&gt;"",ROUND($G$16/1000,0)&lt;&gt;ROUND('1.2 Traffic forecasts'!$H$73,0)),", 2022","")&amp;IF(AND($H$16&lt;&gt;"",ROUND($H$16/1000,0)&lt;&gt;ROUND('1.2 Traffic forecasts'!$I$73,0)),", 2023","")&amp;IF(AND($I$16&lt;&gt;"",ROUND($I$16/1000,0)&lt;&gt;ROUND('1.2 Traffic forecasts'!$J$73,0)),", 2024","")</f>
        <v>#VALUE!</v>
      </c>
      <c r="R4" s="443" t="e">
        <f>IF(AND($F$16&lt;&gt;"",ROUND($F$16/1000,0)&lt;&gt;ROUND('1.2 Traffic forecasts'!$F$79+'1.2 Traffic forecasts'!$G$79,0)),", 2020/2021","")&amp;IF(AND($G$16&lt;&gt;"",ROUND($G$16/1000,0)&lt;&gt;ROUND('1.2 Traffic forecasts'!$H$79,0)),", 2022","")&amp;IF(AND($H$16&lt;&gt;"",ROUND($H$16/1000,0)&lt;&gt;ROUND('1.2 Traffic forecasts'!$I$79,0)),", 2023","")&amp;IF(AND($I$16&lt;&gt;"",ROUND($I$16/1000,0)&lt;&gt;ROUND('1.2 Traffic forecasts'!$J$79,0)),", 2024","")</f>
        <v>#VALUE!</v>
      </c>
    </row>
    <row r="5" spans="1:18">
      <c r="C5" s="227"/>
      <c r="D5" s="227"/>
      <c r="E5" s="227"/>
      <c r="F5" s="227"/>
      <c r="G5" s="247"/>
      <c r="H5" s="247"/>
      <c r="I5" s="247"/>
      <c r="J5" s="247"/>
      <c r="K5" s="247"/>
      <c r="L5" s="247"/>
    </row>
    <row r="6" spans="1:18" ht="15.75">
      <c r="C6" s="117" t="str">
        <f>"En Route Charging Zone #4 - " &amp; IF('1.1 The situation'!$C$85="","",'1.1 The situation'!$C$85)</f>
        <v xml:space="preserve">En Route Charging Zone #4 - </v>
      </c>
      <c r="D6" s="117"/>
      <c r="E6" s="117"/>
      <c r="F6" s="117"/>
    </row>
    <row r="7" spans="1:18">
      <c r="B7" s="85"/>
    </row>
    <row r="8" spans="1:18">
      <c r="B8" s="85"/>
      <c r="C8" s="76" t="s">
        <v>1643</v>
      </c>
    </row>
    <row r="9" spans="1:18">
      <c r="B9" s="85"/>
    </row>
    <row r="10" spans="1:18">
      <c r="B10" s="85"/>
      <c r="C10" s="251" t="s">
        <v>1059</v>
      </c>
      <c r="D10" s="351" t="s">
        <v>1433</v>
      </c>
      <c r="E10" s="351" t="s">
        <v>1060</v>
      </c>
      <c r="F10" s="418" t="s">
        <v>1559</v>
      </c>
      <c r="G10" s="418"/>
      <c r="H10" s="418"/>
      <c r="I10" s="418"/>
      <c r="J10" s="252"/>
      <c r="K10" s="253" t="s">
        <v>713</v>
      </c>
      <c r="L10" s="419" t="s">
        <v>713</v>
      </c>
      <c r="M10" s="182"/>
    </row>
    <row r="11" spans="1:18">
      <c r="B11" s="85"/>
      <c r="C11" s="423" t="s">
        <v>1070</v>
      </c>
      <c r="D11" s="350" t="s">
        <v>1432</v>
      </c>
      <c r="E11" s="251" t="s">
        <v>710</v>
      </c>
      <c r="F11" s="251" t="s">
        <v>1562</v>
      </c>
      <c r="G11" s="251" t="s">
        <v>711</v>
      </c>
      <c r="H11" s="251" t="s">
        <v>712</v>
      </c>
      <c r="I11" s="251" t="s">
        <v>713</v>
      </c>
      <c r="J11" s="252"/>
      <c r="K11" s="420" t="s">
        <v>1560</v>
      </c>
      <c r="L11" s="421" t="s">
        <v>1561</v>
      </c>
      <c r="M11" s="182"/>
      <c r="O11" s="462" t="str">
        <f>IF(OR(C11='1.1 The situation'!$C$85,C11="Name of the CZ"),"","Attention: The name of the Charging Zone below is different from used in the worksheet '1.1 The situation'.")</f>
        <v/>
      </c>
    </row>
    <row r="12" spans="1:18">
      <c r="B12" s="85"/>
      <c r="C12" s="256" t="s">
        <v>1067</v>
      </c>
      <c r="D12" s="469"/>
      <c r="E12" s="469"/>
      <c r="F12" s="248"/>
      <c r="G12" s="248"/>
      <c r="H12" s="248"/>
      <c r="I12" s="248"/>
      <c r="J12" s="252"/>
      <c r="K12" s="258"/>
      <c r="L12" s="258"/>
      <c r="M12" s="182"/>
    </row>
    <row r="13" spans="1:18" ht="15" customHeight="1">
      <c r="B13" s="85"/>
      <c r="C13" s="259" t="s">
        <v>715</v>
      </c>
      <c r="D13" s="470"/>
      <c r="E13" s="470"/>
      <c r="F13" s="261"/>
      <c r="G13" s="261"/>
      <c r="H13" s="261"/>
      <c r="I13" s="261"/>
      <c r="J13" s="252"/>
      <c r="K13" s="262"/>
      <c r="L13" s="262"/>
      <c r="M13" s="182"/>
    </row>
    <row r="14" spans="1:18" ht="15" customHeight="1">
      <c r="B14" s="85"/>
      <c r="C14" s="422" t="s">
        <v>1563</v>
      </c>
      <c r="D14" s="248"/>
      <c r="E14" s="248"/>
      <c r="F14" s="248"/>
      <c r="G14" s="248"/>
      <c r="H14" s="248"/>
      <c r="I14" s="248"/>
      <c r="J14" s="252"/>
      <c r="K14" s="258"/>
      <c r="L14" s="258"/>
      <c r="M14" s="182"/>
    </row>
    <row r="15" spans="1:18">
      <c r="B15" s="85"/>
      <c r="C15" s="256" t="s">
        <v>714</v>
      </c>
      <c r="D15" s="257"/>
      <c r="E15" s="257"/>
      <c r="F15" s="263"/>
      <c r="G15" s="263"/>
      <c r="H15" s="263"/>
      <c r="I15" s="263"/>
      <c r="J15" s="252"/>
      <c r="K15" s="257"/>
      <c r="L15" s="257"/>
      <c r="M15" s="182"/>
    </row>
    <row r="16" spans="1:18">
      <c r="B16" s="85"/>
      <c r="C16" s="256" t="s">
        <v>716</v>
      </c>
      <c r="D16" s="469"/>
      <c r="E16" s="469"/>
      <c r="F16" s="248"/>
      <c r="G16" s="248"/>
      <c r="H16" s="248"/>
      <c r="I16" s="248"/>
      <c r="J16" s="252"/>
      <c r="K16" s="258"/>
      <c r="L16" s="258"/>
      <c r="M16" s="182"/>
      <c r="O16" s="462" t="str">
        <f ca="1">IFERROR(IF('1.2 Traffic forecasts'!$C$68&lt;&gt;"Local Forecast",
IF(SUMPRODUCT((ROUND($G$16:$I$16/1000,0)&lt;&gt;ROUND('1.2 Traffic forecasts'!$H$73:$J$73,0))*($G$16:$I$16&lt;&gt;""))+(ROUND(SUM('1.2 Traffic forecasts'!$F$73:$G$73),0)&lt;&gt;ROUND($F$16/1000,0))*1&lt;&gt;0,"Attention: the TSUs provided below for this CZ do not correspond the figures provided in Section '1.2 Traffic forecasts'"&amp;IF($Q$4&lt;&gt;""," for the year(s) "&amp;MID($Q$4,3,LEN($Q$4)-2),""),""),
IF(SUMPRODUCT((ROUND($G$16:$I$16/1000,0)&lt;&gt;ROUND('1.2 Traffic forecasts'!$H$79:$J$79,0))*($G$16:$I$16&lt;&gt;""))+(ROUND(SUM('1.2 Traffic forecasts'!$F$79:$G$79),0)&lt;&gt;ROUND($F$16/1000,0))*1&lt;&gt;0,"Attention: the TSUs provided below for this CZ do not correspond the figures provided in Section '1.2 Traffic forecasts'"&amp;IF($R$4&lt;&gt;""," for the year(s) "&amp;MID($R$4,3,LEN($R$4)-2),""),"")),"")</f>
        <v/>
      </c>
    </row>
    <row r="17" spans="2:13">
      <c r="B17" s="85"/>
      <c r="C17" s="256" t="s">
        <v>714</v>
      </c>
      <c r="D17" s="257"/>
      <c r="E17" s="257"/>
      <c r="F17" s="263"/>
      <c r="G17" s="263"/>
      <c r="H17" s="263"/>
      <c r="I17" s="263"/>
      <c r="J17" s="265"/>
      <c r="K17" s="257"/>
      <c r="L17" s="257"/>
      <c r="M17" s="182"/>
    </row>
    <row r="18" spans="2:13">
      <c r="B18" s="85"/>
      <c r="C18" s="249" t="s">
        <v>717</v>
      </c>
      <c r="D18" s="266"/>
      <c r="E18" s="266"/>
      <c r="F18" s="250"/>
      <c r="G18" s="250"/>
      <c r="H18" s="250"/>
      <c r="I18" s="250"/>
      <c r="J18" s="252"/>
      <c r="K18" s="262"/>
      <c r="L18" s="262"/>
      <c r="M18" s="182"/>
    </row>
    <row r="19" spans="2:13" ht="17.25">
      <c r="B19" s="85"/>
      <c r="C19" s="256" t="s">
        <v>1068</v>
      </c>
      <c r="D19" s="266"/>
      <c r="E19" s="266"/>
      <c r="F19" s="250"/>
      <c r="G19" s="250"/>
      <c r="H19" s="250"/>
      <c r="I19" s="250"/>
      <c r="J19" s="265"/>
      <c r="K19" s="262"/>
      <c r="L19" s="262"/>
      <c r="M19" s="182"/>
    </row>
    <row r="20" spans="2:13">
      <c r="B20" s="85"/>
      <c r="C20" s="256" t="s">
        <v>714</v>
      </c>
      <c r="D20" s="255"/>
      <c r="E20" s="255"/>
      <c r="F20" s="263"/>
      <c r="G20" s="263"/>
      <c r="H20" s="263"/>
      <c r="I20" s="263"/>
      <c r="J20" s="265"/>
      <c r="K20" s="255"/>
      <c r="L20" s="310"/>
      <c r="M20" s="182"/>
    </row>
    <row r="21" spans="2:13">
      <c r="B21" s="85"/>
      <c r="C21" s="267"/>
      <c r="D21" s="116"/>
      <c r="E21" s="116"/>
      <c r="F21" s="152"/>
      <c r="G21" s="152"/>
      <c r="H21" s="152"/>
      <c r="I21" s="152"/>
    </row>
    <row r="22" spans="2:13">
      <c r="B22" s="85"/>
      <c r="C22" s="352" t="s">
        <v>1061</v>
      </c>
      <c r="D22" s="353"/>
      <c r="E22" s="268"/>
      <c r="F22" s="182"/>
    </row>
    <row r="23" spans="2:13" ht="17.25">
      <c r="B23" s="85"/>
      <c r="C23" s="354" t="s">
        <v>1069</v>
      </c>
      <c r="D23" s="355"/>
      <c r="E23" s="269"/>
      <c r="F23" s="182"/>
    </row>
    <row r="24" spans="2:13" ht="8.1" customHeight="1">
      <c r="B24" s="85"/>
      <c r="C24" s="152"/>
      <c r="D24" s="152"/>
      <c r="E24" s="152"/>
    </row>
    <row r="25" spans="2:13" ht="8.1" customHeight="1">
      <c r="B25" s="85"/>
    </row>
    <row r="26" spans="2:13">
      <c r="B26" s="85"/>
      <c r="C26" s="76" t="s">
        <v>1564</v>
      </c>
    </row>
    <row r="27" spans="2:13">
      <c r="B27" s="85"/>
    </row>
    <row r="28" spans="2:13" ht="15" customHeight="1">
      <c r="B28" s="85"/>
      <c r="C28" s="251" t="s">
        <v>1059</v>
      </c>
      <c r="D28" s="351" t="s">
        <v>1433</v>
      </c>
      <c r="E28" s="351" t="s">
        <v>1060</v>
      </c>
      <c r="F28" s="351" t="s">
        <v>1565</v>
      </c>
      <c r="G28" s="351" t="s">
        <v>1566</v>
      </c>
      <c r="H28" s="468" t="s">
        <v>1686</v>
      </c>
      <c r="I28" s="468" t="s">
        <v>1688</v>
      </c>
    </row>
    <row r="29" spans="2:13">
      <c r="B29" s="85"/>
      <c r="C29" s="423" t="s">
        <v>1070</v>
      </c>
      <c r="D29" s="420" t="s">
        <v>1432</v>
      </c>
      <c r="E29" s="424" t="s">
        <v>710</v>
      </c>
      <c r="F29" s="420" t="s">
        <v>1567</v>
      </c>
      <c r="G29" s="425" t="s">
        <v>1568</v>
      </c>
      <c r="H29" s="421" t="s">
        <v>1687</v>
      </c>
      <c r="I29" s="421" t="s">
        <v>1689</v>
      </c>
    </row>
    <row r="30" spans="2:13">
      <c r="B30" s="85"/>
      <c r="C30" s="422" t="s">
        <v>1569</v>
      </c>
      <c r="D30" s="2"/>
      <c r="E30" s="2"/>
      <c r="F30" s="2"/>
      <c r="G30" s="2"/>
      <c r="H30" s="2"/>
      <c r="I30" s="2"/>
    </row>
    <row r="31" spans="2:13" ht="15" customHeight="1">
      <c r="B31" s="85"/>
      <c r="C31" s="426" t="s">
        <v>1570</v>
      </c>
      <c r="D31" s="427"/>
      <c r="E31" s="427"/>
      <c r="F31" s="2"/>
      <c r="G31" s="2"/>
      <c r="H31" s="2"/>
      <c r="I31" s="2"/>
    </row>
    <row r="32" spans="2:13" ht="17.25">
      <c r="B32" s="85"/>
      <c r="C32" s="256" t="s">
        <v>1563</v>
      </c>
      <c r="D32" s="2"/>
      <c r="E32" s="2"/>
      <c r="F32" s="2"/>
      <c r="G32" s="2"/>
      <c r="H32" s="2"/>
      <c r="I32" s="2"/>
    </row>
    <row r="33" spans="2:9">
      <c r="B33" s="85"/>
      <c r="C33" s="422" t="s">
        <v>1571</v>
      </c>
      <c r="D33" s="2"/>
      <c r="E33" s="2"/>
      <c r="F33" s="2"/>
      <c r="G33" s="2"/>
      <c r="H33" s="2"/>
      <c r="I33" s="2"/>
    </row>
    <row r="34" spans="2:9">
      <c r="B34" s="85"/>
    </row>
    <row r="36" spans="2:9">
      <c r="C36" s="76" t="s">
        <v>1592</v>
      </c>
    </row>
    <row r="38" spans="2:9">
      <c r="C38" s="444" t="s">
        <v>1615</v>
      </c>
      <c r="F38" s="920" t="s">
        <v>1572</v>
      </c>
      <c r="G38" s="920"/>
      <c r="H38" s="921" t="s">
        <v>240</v>
      </c>
      <c r="I38" s="921"/>
    </row>
    <row r="40" spans="2:9" hidden="1">
      <c r="C40" s="428" t="s">
        <v>1573</v>
      </c>
      <c r="D40" s="429" t="s">
        <v>259</v>
      </c>
      <c r="E40" s="429" t="s">
        <v>1574</v>
      </c>
      <c r="F40" s="429" t="s">
        <v>1575</v>
      </c>
      <c r="G40" s="429" t="s">
        <v>1576</v>
      </c>
      <c r="H40" s="429" t="s">
        <v>1577</v>
      </c>
      <c r="I40" s="429" t="s">
        <v>1578</v>
      </c>
    </row>
    <row r="41" spans="2:9" hidden="1">
      <c r="C41" s="430" t="s">
        <v>1581</v>
      </c>
      <c r="D41" s="430"/>
      <c r="E41" s="156" t="s">
        <v>240</v>
      </c>
      <c r="F41" s="431" t="s">
        <v>240</v>
      </c>
      <c r="G41" s="432"/>
      <c r="H41" s="451">
        <f>IF(OR(E41="Click to select",F41="Click to select"),0,IF(OR(E41="ANSP",E41="MET"),IF(OR(F41="Staff",F41="Other operating",F41="Exceptional items"),G41/(INDEX(Table_Inflation_IDX_ECZ[Inflation Index 2014 Actual],MATCH($O$4,Table_Inflation_IDX_ECZ[ER_CZ],0))/100),G41),G41))</f>
        <v>0</v>
      </c>
      <c r="I41" s="451">
        <f>IFERROR(H41/$E$23,0)</f>
        <v>0</v>
      </c>
    </row>
    <row r="42" spans="2:9" hidden="1">
      <c r="C42" s="922" t="s">
        <v>1579</v>
      </c>
      <c r="D42" s="923"/>
      <c r="E42" s="923"/>
      <c r="F42" s="923"/>
      <c r="G42" s="923"/>
      <c r="H42" s="923"/>
      <c r="I42" s="924"/>
    </row>
    <row r="43" spans="2:9" ht="30" hidden="1" customHeight="1">
      <c r="C43" s="925" t="s">
        <v>1580</v>
      </c>
      <c r="D43" s="926"/>
      <c r="E43" s="926"/>
      <c r="F43" s="926"/>
      <c r="G43" s="926"/>
      <c r="H43" s="926"/>
      <c r="I43" s="927"/>
    </row>
    <row r="44" spans="2:9" hidden="1"/>
    <row r="45" spans="2:9" hidden="1">
      <c r="C45" s="428" t="s">
        <v>1582</v>
      </c>
      <c r="D45" s="429" t="s">
        <v>259</v>
      </c>
      <c r="E45" s="429" t="s">
        <v>1574</v>
      </c>
      <c r="F45" s="429" t="s">
        <v>1575</v>
      </c>
      <c r="G45" s="429" t="s">
        <v>1576</v>
      </c>
      <c r="H45" s="429" t="s">
        <v>1577</v>
      </c>
      <c r="I45" s="429" t="s">
        <v>1578</v>
      </c>
    </row>
    <row r="46" spans="2:9" hidden="1">
      <c r="C46" s="430" t="s">
        <v>1581</v>
      </c>
      <c r="D46" s="430"/>
      <c r="E46" s="156" t="s">
        <v>240</v>
      </c>
      <c r="F46" s="431" t="s">
        <v>240</v>
      </c>
      <c r="G46" s="432"/>
      <c r="H46" s="451">
        <f>IF(OR(E46="Click to select",F46="Click to select"),0,IF(OR(E46="ANSP",E46="MET"),IF(OR(F46="Staff",F46="Other operating",F46="Exceptional items"),G46/(INDEX(Table_Inflation_IDX_ECZ[Inflation Index 2014 Actual],MATCH($O$4,Table_Inflation_IDX_ECZ[ER_CZ],0))/100),G46),G46))</f>
        <v>0</v>
      </c>
      <c r="I46" s="451">
        <f>IFERROR(H46/$E$23,0)</f>
        <v>0</v>
      </c>
    </row>
    <row r="47" spans="2:9" hidden="1">
      <c r="C47" s="922" t="s">
        <v>1579</v>
      </c>
      <c r="D47" s="923"/>
      <c r="E47" s="923"/>
      <c r="F47" s="923"/>
      <c r="G47" s="923"/>
      <c r="H47" s="923"/>
      <c r="I47" s="924"/>
    </row>
    <row r="48" spans="2:9" ht="30" hidden="1" customHeight="1">
      <c r="C48" s="925" t="s">
        <v>1580</v>
      </c>
      <c r="D48" s="926"/>
      <c r="E48" s="926"/>
      <c r="F48" s="926"/>
      <c r="G48" s="926"/>
      <c r="H48" s="926"/>
      <c r="I48" s="927"/>
    </row>
    <row r="49" spans="3:9" hidden="1"/>
    <row r="50" spans="3:9" hidden="1">
      <c r="C50" s="428" t="s">
        <v>1583</v>
      </c>
      <c r="D50" s="429" t="s">
        <v>259</v>
      </c>
      <c r="E50" s="429" t="s">
        <v>1574</v>
      </c>
      <c r="F50" s="429" t="s">
        <v>1575</v>
      </c>
      <c r="G50" s="429" t="s">
        <v>1576</v>
      </c>
      <c r="H50" s="429" t="s">
        <v>1577</v>
      </c>
      <c r="I50" s="429" t="s">
        <v>1578</v>
      </c>
    </row>
    <row r="51" spans="3:9" hidden="1">
      <c r="C51" s="430" t="s">
        <v>1581</v>
      </c>
      <c r="D51" s="430"/>
      <c r="E51" s="156" t="s">
        <v>240</v>
      </c>
      <c r="F51" s="431" t="s">
        <v>240</v>
      </c>
      <c r="G51" s="432"/>
      <c r="H51" s="451">
        <f>IF(OR(E51="Click to select",F51="Click to select"),0,IF(OR(E51="ANSP",E51="MET"),IF(OR(F51="Staff",F51="Other operating",F51="Exceptional items"),G51/(INDEX(Table_Inflation_IDX_ECZ[Inflation Index 2014 Actual],MATCH($O$4,Table_Inflation_IDX_ECZ[ER_CZ],0))/100),G51),G51))</f>
        <v>0</v>
      </c>
      <c r="I51" s="451">
        <f>IFERROR(H51/$E$23,0)</f>
        <v>0</v>
      </c>
    </row>
    <row r="52" spans="3:9" hidden="1">
      <c r="C52" s="922" t="s">
        <v>1579</v>
      </c>
      <c r="D52" s="923"/>
      <c r="E52" s="923"/>
      <c r="F52" s="923"/>
      <c r="G52" s="923"/>
      <c r="H52" s="923"/>
      <c r="I52" s="924"/>
    </row>
    <row r="53" spans="3:9" ht="30" hidden="1" customHeight="1">
      <c r="C53" s="925" t="s">
        <v>1580</v>
      </c>
      <c r="D53" s="926"/>
      <c r="E53" s="926"/>
      <c r="F53" s="926"/>
      <c r="G53" s="926"/>
      <c r="H53" s="926"/>
      <c r="I53" s="927"/>
    </row>
    <row r="54" spans="3:9" hidden="1"/>
    <row r="55" spans="3:9" hidden="1">
      <c r="C55" s="428" t="s">
        <v>1584</v>
      </c>
      <c r="D55" s="429" t="s">
        <v>259</v>
      </c>
      <c r="E55" s="429" t="s">
        <v>1574</v>
      </c>
      <c r="F55" s="429" t="s">
        <v>1575</v>
      </c>
      <c r="G55" s="429" t="s">
        <v>1576</v>
      </c>
      <c r="H55" s="429" t="s">
        <v>1577</v>
      </c>
      <c r="I55" s="429" t="s">
        <v>1578</v>
      </c>
    </row>
    <row r="56" spans="3:9" hidden="1">
      <c r="C56" s="430" t="s">
        <v>1581</v>
      </c>
      <c r="D56" s="430"/>
      <c r="E56" s="156" t="s">
        <v>240</v>
      </c>
      <c r="F56" s="431" t="s">
        <v>240</v>
      </c>
      <c r="G56" s="432"/>
      <c r="H56" s="451">
        <f>IF(OR(E56="Click to select",F56="Click to select"),0,IF(OR(E56="ANSP",E56="MET"),IF(OR(F56="Staff",F56="Other operating",F56="Exceptional items"),G56/(INDEX(Table_Inflation_IDX_ECZ[Inflation Index 2014 Actual],MATCH($O$4,Table_Inflation_IDX_ECZ[ER_CZ],0))/100),G56),G56))</f>
        <v>0</v>
      </c>
      <c r="I56" s="451">
        <f>IFERROR(H56/$E$23,0)</f>
        <v>0</v>
      </c>
    </row>
    <row r="57" spans="3:9" hidden="1">
      <c r="C57" s="922" t="s">
        <v>1579</v>
      </c>
      <c r="D57" s="923"/>
      <c r="E57" s="923"/>
      <c r="F57" s="923"/>
      <c r="G57" s="923"/>
      <c r="H57" s="923"/>
      <c r="I57" s="924"/>
    </row>
    <row r="58" spans="3:9" ht="30" hidden="1" customHeight="1">
      <c r="C58" s="925" t="s">
        <v>1580</v>
      </c>
      <c r="D58" s="926"/>
      <c r="E58" s="926"/>
      <c r="F58" s="926"/>
      <c r="G58" s="926"/>
      <c r="H58" s="926"/>
      <c r="I58" s="927"/>
    </row>
    <row r="59" spans="3:9" hidden="1"/>
    <row r="60" spans="3:9" hidden="1">
      <c r="C60" s="428" t="s">
        <v>1585</v>
      </c>
      <c r="D60" s="429" t="s">
        <v>259</v>
      </c>
      <c r="E60" s="429" t="s">
        <v>1574</v>
      </c>
      <c r="F60" s="429" t="s">
        <v>1575</v>
      </c>
      <c r="G60" s="429" t="s">
        <v>1576</v>
      </c>
      <c r="H60" s="429" t="s">
        <v>1577</v>
      </c>
      <c r="I60" s="429" t="s">
        <v>1578</v>
      </c>
    </row>
    <row r="61" spans="3:9" hidden="1">
      <c r="C61" s="430" t="s">
        <v>1581</v>
      </c>
      <c r="D61" s="430"/>
      <c r="E61" s="156" t="s">
        <v>240</v>
      </c>
      <c r="F61" s="431" t="s">
        <v>240</v>
      </c>
      <c r="G61" s="432"/>
      <c r="H61" s="451">
        <f>IF(OR(E61="Click to select",F61="Click to select"),0,IF(OR(E61="ANSP",E61="MET"),IF(OR(F61="Staff",F61="Other operating",F61="Exceptional items"),G61/(INDEX(Table_Inflation_IDX_ECZ[Inflation Index 2014 Actual],MATCH($O$4,Table_Inflation_IDX_ECZ[ER_CZ],0))/100),G61),G61))</f>
        <v>0</v>
      </c>
      <c r="I61" s="451">
        <f>IFERROR(H61/$E$23,0)</f>
        <v>0</v>
      </c>
    </row>
    <row r="62" spans="3:9" hidden="1">
      <c r="C62" s="922" t="s">
        <v>1579</v>
      </c>
      <c r="D62" s="923"/>
      <c r="E62" s="923"/>
      <c r="F62" s="923"/>
      <c r="G62" s="923"/>
      <c r="H62" s="923"/>
      <c r="I62" s="924"/>
    </row>
    <row r="63" spans="3:9" ht="30" hidden="1" customHeight="1">
      <c r="C63" s="925" t="s">
        <v>1580</v>
      </c>
      <c r="D63" s="926"/>
      <c r="E63" s="926"/>
      <c r="F63" s="926"/>
      <c r="G63" s="926"/>
      <c r="H63" s="926"/>
      <c r="I63" s="927"/>
    </row>
    <row r="64" spans="3:9" hidden="1"/>
    <row r="65" spans="3:9" hidden="1">
      <c r="C65" s="428" t="s">
        <v>1586</v>
      </c>
      <c r="D65" s="429" t="s">
        <v>259</v>
      </c>
      <c r="E65" s="429" t="s">
        <v>1574</v>
      </c>
      <c r="F65" s="429" t="s">
        <v>1575</v>
      </c>
      <c r="G65" s="429" t="s">
        <v>1576</v>
      </c>
      <c r="H65" s="429" t="s">
        <v>1577</v>
      </c>
      <c r="I65" s="429" t="s">
        <v>1578</v>
      </c>
    </row>
    <row r="66" spans="3:9" hidden="1">
      <c r="C66" s="430" t="s">
        <v>1581</v>
      </c>
      <c r="D66" s="430"/>
      <c r="E66" s="156" t="s">
        <v>240</v>
      </c>
      <c r="F66" s="431" t="s">
        <v>240</v>
      </c>
      <c r="G66" s="432"/>
      <c r="H66" s="451">
        <f>IF(OR(E66="Click to select",F66="Click to select"),0,IF(OR(E66="ANSP",E66="MET"),IF(OR(F66="Staff",F66="Other operating",F66="Exceptional items"),G66/(INDEX(Table_Inflation_IDX_ECZ[Inflation Index 2014 Actual],MATCH($O$4,Table_Inflation_IDX_ECZ[ER_CZ],0))/100),G66),G66))</f>
        <v>0</v>
      </c>
      <c r="I66" s="451">
        <f>IFERROR(H66/$E$23,0)</f>
        <v>0</v>
      </c>
    </row>
    <row r="67" spans="3:9" hidden="1">
      <c r="C67" s="922" t="s">
        <v>1579</v>
      </c>
      <c r="D67" s="923"/>
      <c r="E67" s="923"/>
      <c r="F67" s="923"/>
      <c r="G67" s="923"/>
      <c r="H67" s="923"/>
      <c r="I67" s="924"/>
    </row>
    <row r="68" spans="3:9" ht="30" hidden="1" customHeight="1">
      <c r="C68" s="925" t="s">
        <v>1580</v>
      </c>
      <c r="D68" s="926"/>
      <c r="E68" s="926"/>
      <c r="F68" s="926"/>
      <c r="G68" s="926"/>
      <c r="H68" s="926"/>
      <c r="I68" s="927"/>
    </row>
    <row r="69" spans="3:9" hidden="1"/>
    <row r="70" spans="3:9" hidden="1">
      <c r="C70" s="428" t="s">
        <v>1587</v>
      </c>
      <c r="D70" s="429" t="s">
        <v>259</v>
      </c>
      <c r="E70" s="429" t="s">
        <v>1574</v>
      </c>
      <c r="F70" s="429" t="s">
        <v>1575</v>
      </c>
      <c r="G70" s="429" t="s">
        <v>1576</v>
      </c>
      <c r="H70" s="429" t="s">
        <v>1577</v>
      </c>
      <c r="I70" s="429" t="s">
        <v>1578</v>
      </c>
    </row>
    <row r="71" spans="3:9" hidden="1">
      <c r="C71" s="430" t="s">
        <v>1581</v>
      </c>
      <c r="D71" s="430"/>
      <c r="E71" s="156" t="s">
        <v>240</v>
      </c>
      <c r="F71" s="431" t="s">
        <v>240</v>
      </c>
      <c r="G71" s="432"/>
      <c r="H71" s="451">
        <f>IF(OR(E71="Click to select",F71="Click to select"),0,IF(OR(E71="ANSP",E71="MET"),IF(OR(F71="Staff",F71="Other operating",F71="Exceptional items"),G71/(INDEX(Table_Inflation_IDX_ECZ[Inflation Index 2014 Actual],MATCH($O$4,Table_Inflation_IDX_ECZ[ER_CZ],0))/100),G71),G71))</f>
        <v>0</v>
      </c>
      <c r="I71" s="451">
        <f>IFERROR(H71/$E$23,0)</f>
        <v>0</v>
      </c>
    </row>
    <row r="72" spans="3:9" hidden="1">
      <c r="C72" s="922" t="s">
        <v>1579</v>
      </c>
      <c r="D72" s="923"/>
      <c r="E72" s="923"/>
      <c r="F72" s="923"/>
      <c r="G72" s="923"/>
      <c r="H72" s="923"/>
      <c r="I72" s="924"/>
    </row>
    <row r="73" spans="3:9" ht="30" hidden="1" customHeight="1">
      <c r="C73" s="925" t="s">
        <v>1580</v>
      </c>
      <c r="D73" s="926"/>
      <c r="E73" s="926"/>
      <c r="F73" s="926"/>
      <c r="G73" s="926"/>
      <c r="H73" s="926"/>
      <c r="I73" s="927"/>
    </row>
    <row r="74" spans="3:9" hidden="1"/>
    <row r="75" spans="3:9" hidden="1">
      <c r="C75" s="428" t="s">
        <v>1588</v>
      </c>
      <c r="D75" s="429" t="s">
        <v>259</v>
      </c>
      <c r="E75" s="429" t="s">
        <v>1574</v>
      </c>
      <c r="F75" s="429" t="s">
        <v>1575</v>
      </c>
      <c r="G75" s="429" t="s">
        <v>1576</v>
      </c>
      <c r="H75" s="429" t="s">
        <v>1577</v>
      </c>
      <c r="I75" s="429" t="s">
        <v>1578</v>
      </c>
    </row>
    <row r="76" spans="3:9" hidden="1">
      <c r="C76" s="430" t="s">
        <v>1581</v>
      </c>
      <c r="D76" s="430"/>
      <c r="E76" s="156" t="s">
        <v>240</v>
      </c>
      <c r="F76" s="431" t="s">
        <v>240</v>
      </c>
      <c r="G76" s="432"/>
      <c r="H76" s="451">
        <f>IF(OR(E76="Click to select",F76="Click to select"),0,IF(OR(E76="ANSP",E76="MET"),IF(OR(F76="Staff",F76="Other operating",F76="Exceptional items"),G76/(INDEX(Table_Inflation_IDX_ECZ[Inflation Index 2014 Actual],MATCH($O$4,Table_Inflation_IDX_ECZ[ER_CZ],0))/100),G76),G76))</f>
        <v>0</v>
      </c>
      <c r="I76" s="451">
        <f>IFERROR(H76/$E$23,0)</f>
        <v>0</v>
      </c>
    </row>
    <row r="77" spans="3:9" hidden="1">
      <c r="C77" s="922" t="s">
        <v>1579</v>
      </c>
      <c r="D77" s="923"/>
      <c r="E77" s="923"/>
      <c r="F77" s="923"/>
      <c r="G77" s="923"/>
      <c r="H77" s="923"/>
      <c r="I77" s="924"/>
    </row>
    <row r="78" spans="3:9" ht="30" hidden="1" customHeight="1">
      <c r="C78" s="925" t="s">
        <v>1580</v>
      </c>
      <c r="D78" s="926"/>
      <c r="E78" s="926"/>
      <c r="F78" s="926"/>
      <c r="G78" s="926"/>
      <c r="H78" s="926"/>
      <c r="I78" s="927"/>
    </row>
    <row r="79" spans="3:9" hidden="1"/>
    <row r="80" spans="3:9" hidden="1">
      <c r="C80" s="428" t="s">
        <v>1589</v>
      </c>
      <c r="D80" s="429" t="s">
        <v>259</v>
      </c>
      <c r="E80" s="429" t="s">
        <v>1574</v>
      </c>
      <c r="F80" s="429" t="s">
        <v>1575</v>
      </c>
      <c r="G80" s="429" t="s">
        <v>1576</v>
      </c>
      <c r="H80" s="429" t="s">
        <v>1577</v>
      </c>
      <c r="I80" s="429" t="s">
        <v>1578</v>
      </c>
    </row>
    <row r="81" spans="3:15" hidden="1">
      <c r="C81" s="430" t="s">
        <v>1581</v>
      </c>
      <c r="D81" s="430"/>
      <c r="E81" s="156" t="s">
        <v>240</v>
      </c>
      <c r="F81" s="431" t="s">
        <v>240</v>
      </c>
      <c r="G81" s="432"/>
      <c r="H81" s="451">
        <f>IF(OR(E81="Click to select",F81="Click to select"),0,IF(OR(E81="ANSP",E81="MET"),IF(OR(F81="Staff",F81="Other operating",F81="Exceptional items"),G81/(INDEX(Table_Inflation_IDX_ECZ[Inflation Index 2014 Actual],MATCH($O$4,Table_Inflation_IDX_ECZ[ER_CZ],0))/100),G81),G81))</f>
        <v>0</v>
      </c>
      <c r="I81" s="451">
        <f>IFERROR(H81/$E$23,0)</f>
        <v>0</v>
      </c>
    </row>
    <row r="82" spans="3:15" hidden="1">
      <c r="C82" s="922" t="s">
        <v>1579</v>
      </c>
      <c r="D82" s="923"/>
      <c r="E82" s="923"/>
      <c r="F82" s="923"/>
      <c r="G82" s="923"/>
      <c r="H82" s="923"/>
      <c r="I82" s="924"/>
    </row>
    <row r="83" spans="3:15" ht="30" hidden="1" customHeight="1">
      <c r="C83" s="925" t="s">
        <v>1580</v>
      </c>
      <c r="D83" s="926"/>
      <c r="E83" s="926"/>
      <c r="F83" s="926"/>
      <c r="G83" s="926"/>
      <c r="H83" s="926"/>
      <c r="I83" s="927"/>
    </row>
    <row r="84" spans="3:15" hidden="1"/>
    <row r="85" spans="3:15" hidden="1">
      <c r="C85" s="428" t="s">
        <v>1590</v>
      </c>
      <c r="D85" s="429" t="s">
        <v>259</v>
      </c>
      <c r="E85" s="429" t="s">
        <v>1574</v>
      </c>
      <c r="F85" s="429" t="s">
        <v>1575</v>
      </c>
      <c r="G85" s="429" t="s">
        <v>1576</v>
      </c>
      <c r="H85" s="429" t="s">
        <v>1577</v>
      </c>
      <c r="I85" s="429" t="s">
        <v>1578</v>
      </c>
    </row>
    <row r="86" spans="3:15" hidden="1">
      <c r="C86" s="430" t="s">
        <v>1581</v>
      </c>
      <c r="D86" s="430"/>
      <c r="E86" s="156" t="s">
        <v>240</v>
      </c>
      <c r="F86" s="431" t="s">
        <v>240</v>
      </c>
      <c r="G86" s="432"/>
      <c r="H86" s="451">
        <f>IF(OR(E86="Click to select",F86="Click to select"),0,IF(OR(E86="ANSP",E86="MET"),IF(OR(F86="Staff",F86="Other operating",F86="Exceptional items"),G86/(INDEX(Table_Inflation_IDX_ECZ[Inflation Index 2014 Actual],MATCH($O$4,Table_Inflation_IDX_ECZ[ER_CZ],0))/100),G86),G86))</f>
        <v>0</v>
      </c>
      <c r="I86" s="451">
        <f>IFERROR(H86/$E$23,0)</f>
        <v>0</v>
      </c>
    </row>
    <row r="87" spans="3:15" hidden="1">
      <c r="C87" s="922" t="s">
        <v>1579</v>
      </c>
      <c r="D87" s="923"/>
      <c r="E87" s="923"/>
      <c r="F87" s="923"/>
      <c r="G87" s="923"/>
      <c r="H87" s="923"/>
      <c r="I87" s="924"/>
    </row>
    <row r="88" spans="3:15" ht="30" hidden="1" customHeight="1">
      <c r="C88" s="925" t="s">
        <v>1580</v>
      </c>
      <c r="D88" s="926"/>
      <c r="E88" s="926"/>
      <c r="F88" s="926"/>
      <c r="G88" s="926"/>
      <c r="H88" s="926"/>
      <c r="I88" s="927"/>
    </row>
    <row r="89" spans="3:15" hidden="1"/>
    <row r="90" spans="3:15" hidden="1">
      <c r="C90" s="933" t="s">
        <v>1591</v>
      </c>
      <c r="D90" s="934"/>
      <c r="E90" s="934"/>
      <c r="F90" s="935"/>
      <c r="G90" s="433" t="s">
        <v>1576</v>
      </c>
      <c r="H90" s="433" t="s">
        <v>1577</v>
      </c>
      <c r="I90" s="433" t="s">
        <v>1578</v>
      </c>
      <c r="O90" s="462" t="str">
        <f>IFERROR(IF(ROUND(G91/100,0)&lt;&gt;ROUND(H30/100,0),"The total adjustment in nominal NC does not match the figure in section b)",""),"")</f>
        <v/>
      </c>
    </row>
    <row r="91" spans="3:15" hidden="1">
      <c r="C91" s="936"/>
      <c r="D91" s="937"/>
      <c r="E91" s="937"/>
      <c r="F91" s="938"/>
      <c r="G91" s="452" t="str">
        <f>IF(G86+G81+G76+G71+G66+G61+G56+G51+G46+G41=0,"-",G86+G81+G76+G71+G66+G61+G56+G51+G46+G41)</f>
        <v>-</v>
      </c>
      <c r="H91" s="452">
        <f>IFERROR(H86+H81+H76+H71+H66+H61+H56+H51+H46+H41,"-")</f>
        <v>0</v>
      </c>
      <c r="I91" s="452">
        <f>IFERROR(I86+I81+I76+I71+I66+I61+I56+I51+I46+I41,"-")</f>
        <v>0</v>
      </c>
      <c r="O91" s="462" t="str">
        <f>IFERROR(IF(ROUND(H91/100,0)&lt;&gt;ROUND(H31/100,0),"The total adjustment in real NC does not match the figure in section b)",""),"")</f>
        <v/>
      </c>
    </row>
    <row r="92" spans="3:15" hidden="1"/>
    <row r="93" spans="3:15" hidden="1"/>
    <row r="94" spans="3:15">
      <c r="C94" s="444" t="s">
        <v>1616</v>
      </c>
    </row>
    <row r="95" spans="3:15" ht="6.95" customHeight="1"/>
    <row r="96" spans="3:15">
      <c r="C96" s="939" t="s">
        <v>1595</v>
      </c>
      <c r="D96" s="941" t="s">
        <v>1596</v>
      </c>
      <c r="E96" s="942"/>
      <c r="F96" s="945" t="s">
        <v>1600</v>
      </c>
      <c r="G96" s="946"/>
      <c r="H96" s="947"/>
      <c r="I96" s="429" t="s">
        <v>1597</v>
      </c>
      <c r="O96" s="463" t="s">
        <v>1614</v>
      </c>
    </row>
    <row r="97" spans="3:15">
      <c r="C97" s="940"/>
      <c r="D97" s="958" t="str">
        <f>O97</f>
        <v>-</v>
      </c>
      <c r="E97" s="959"/>
      <c r="F97" s="960" t="str">
        <f>IFERROR(IF(D97=$P$4,"CRCO correction factor May 2019 (on 12 months)","Other"),"-")</f>
        <v>-</v>
      </c>
      <c r="G97" s="961"/>
      <c r="H97" s="962"/>
      <c r="I97" s="2"/>
      <c r="O97" s="464" t="str">
        <f>IFERROR(INDEX(Table_CRCO_Factor[May 2019 (based on 12 months)],MATCH($O$4,Table_CRCO_Factor[ECZ],0)),"-")</f>
        <v>-</v>
      </c>
    </row>
    <row r="98" spans="3:15" ht="30" hidden="1" customHeight="1">
      <c r="C98" s="925" t="s">
        <v>1580</v>
      </c>
      <c r="D98" s="926"/>
      <c r="E98" s="926"/>
      <c r="F98" s="926"/>
      <c r="G98" s="926"/>
      <c r="H98" s="926"/>
      <c r="I98" s="927"/>
    </row>
    <row r="100" spans="3:15">
      <c r="C100" s="428" t="s">
        <v>1598</v>
      </c>
      <c r="D100" s="317" t="s">
        <v>240</v>
      </c>
    </row>
    <row r="101" spans="3:15" hidden="1">
      <c r="C101" s="931" t="s">
        <v>1581</v>
      </c>
      <c r="D101" s="932"/>
      <c r="H101" s="429" t="s">
        <v>1597</v>
      </c>
      <c r="I101" s="2"/>
    </row>
    <row r="102" spans="3:15" hidden="1">
      <c r="C102" s="922" t="s">
        <v>1579</v>
      </c>
      <c r="D102" s="923"/>
      <c r="E102" s="923"/>
      <c r="F102" s="923"/>
      <c r="G102" s="923"/>
      <c r="H102" s="923"/>
      <c r="I102" s="924"/>
    </row>
    <row r="103" spans="3:15" hidden="1">
      <c r="C103" s="925" t="s">
        <v>1580</v>
      </c>
      <c r="D103" s="926"/>
      <c r="E103" s="926"/>
      <c r="F103" s="926"/>
      <c r="G103" s="926"/>
      <c r="H103" s="926"/>
      <c r="I103" s="927"/>
    </row>
    <row r="105" spans="3:15">
      <c r="C105" s="951" t="s">
        <v>1599</v>
      </c>
      <c r="D105" s="952"/>
      <c r="E105" s="952"/>
      <c r="F105" s="952"/>
      <c r="G105" s="952"/>
      <c r="H105" s="953"/>
      <c r="I105" s="442">
        <f>I101+I97</f>
        <v>0</v>
      </c>
      <c r="O105" s="462" t="str">
        <f>IFERROR(IF(ROUND(I105/100,0)&lt;&gt;ROUND(H33/100,0),"The service units total adjustment does not match the figure in section b)",""),"")</f>
        <v/>
      </c>
    </row>
    <row r="106" spans="3:15" hidden="1"/>
    <row r="108" spans="3:15">
      <c r="C108" s="444" t="s">
        <v>1617</v>
      </c>
      <c r="F108" s="920" t="s">
        <v>1572</v>
      </c>
      <c r="G108" s="920"/>
      <c r="H108" s="921" t="s">
        <v>240</v>
      </c>
      <c r="I108" s="921"/>
    </row>
    <row r="110" spans="3:15" hidden="1">
      <c r="C110" s="428" t="s">
        <v>1573</v>
      </c>
      <c r="D110" s="429" t="s">
        <v>259</v>
      </c>
      <c r="E110" s="429" t="s">
        <v>1574</v>
      </c>
      <c r="F110" s="429" t="s">
        <v>1575</v>
      </c>
      <c r="G110" s="429" t="s">
        <v>1576</v>
      </c>
      <c r="H110" s="429" t="s">
        <v>1577</v>
      </c>
      <c r="I110" s="429" t="s">
        <v>1578</v>
      </c>
    </row>
    <row r="111" spans="3:15" hidden="1">
      <c r="C111" s="430" t="s">
        <v>1581</v>
      </c>
      <c r="D111" s="430"/>
      <c r="E111" s="156" t="s">
        <v>240</v>
      </c>
      <c r="F111" s="431" t="s">
        <v>240</v>
      </c>
      <c r="G111" s="432"/>
      <c r="H111" s="434" t="str">
        <f>IF(OR(E111="Click to select",F111="Click to select"),"-",IF(OR(E111="ANSP",E111="MET"),IF(OR(F111="Staff",F111="Other operating",F111="Exceptional items"),G111/(INDEX(Table_Inflation_IDX_ECZ[Inflation Index 2019 Actual],MATCH($O$4,Table_Inflation_IDX_ECZ[ER_CZ],0))/100),G111),G111))</f>
        <v>-</v>
      </c>
      <c r="I111" s="434" t="str">
        <f>IFERROR(H111/$E$23,"-")</f>
        <v>-</v>
      </c>
    </row>
    <row r="112" spans="3:15" hidden="1">
      <c r="C112" s="922" t="s">
        <v>1579</v>
      </c>
      <c r="D112" s="923"/>
      <c r="E112" s="923"/>
      <c r="F112" s="923"/>
      <c r="G112" s="923"/>
      <c r="H112" s="923"/>
      <c r="I112" s="924"/>
    </row>
    <row r="113" spans="3:9" ht="30" hidden="1" customHeight="1">
      <c r="C113" s="925" t="s">
        <v>1580</v>
      </c>
      <c r="D113" s="926"/>
      <c r="E113" s="926"/>
      <c r="F113" s="926"/>
      <c r="G113" s="926"/>
      <c r="H113" s="926"/>
      <c r="I113" s="927"/>
    </row>
    <row r="114" spans="3:9" hidden="1"/>
    <row r="115" spans="3:9" hidden="1">
      <c r="C115" s="428" t="s">
        <v>1582</v>
      </c>
      <c r="D115" s="429" t="s">
        <v>259</v>
      </c>
      <c r="E115" s="429" t="s">
        <v>1574</v>
      </c>
      <c r="F115" s="429" t="s">
        <v>1575</v>
      </c>
      <c r="G115" s="429" t="s">
        <v>1576</v>
      </c>
      <c r="H115" s="429" t="s">
        <v>1577</v>
      </c>
      <c r="I115" s="429" t="s">
        <v>1578</v>
      </c>
    </row>
    <row r="116" spans="3:9" hidden="1">
      <c r="C116" s="430" t="s">
        <v>1581</v>
      </c>
      <c r="D116" s="430"/>
      <c r="E116" s="156" t="s">
        <v>240</v>
      </c>
      <c r="F116" s="431" t="s">
        <v>240</v>
      </c>
      <c r="G116" s="432"/>
      <c r="H116" s="434" t="str">
        <f>IF(OR(E116="Click to select",F116="Click to select"),"-",IF(OR(E116="ANSP",E116="MET"),IF(OR(F116="Staff",F116="Other operating",F116="Exceptional items"),G116/(INDEX(Table_Inflation_IDX_ECZ[Inflation Index 2019 Actual],MATCH($O$4,Table_Inflation_IDX_ECZ[ER_CZ],0))/100),G116),G116))</f>
        <v>-</v>
      </c>
      <c r="I116" s="434" t="str">
        <f>IFERROR(H116/$E$23,"-")</f>
        <v>-</v>
      </c>
    </row>
    <row r="117" spans="3:9" hidden="1">
      <c r="C117" s="922" t="s">
        <v>1579</v>
      </c>
      <c r="D117" s="923"/>
      <c r="E117" s="923"/>
      <c r="F117" s="923"/>
      <c r="G117" s="923"/>
      <c r="H117" s="923"/>
      <c r="I117" s="924"/>
    </row>
    <row r="118" spans="3:9" ht="30" hidden="1" customHeight="1">
      <c r="C118" s="925" t="s">
        <v>1580</v>
      </c>
      <c r="D118" s="926"/>
      <c r="E118" s="926"/>
      <c r="F118" s="926"/>
      <c r="G118" s="926"/>
      <c r="H118" s="926"/>
      <c r="I118" s="927"/>
    </row>
    <row r="119" spans="3:9" hidden="1"/>
    <row r="120" spans="3:9" hidden="1">
      <c r="C120" s="428" t="s">
        <v>1583</v>
      </c>
      <c r="D120" s="429" t="s">
        <v>259</v>
      </c>
      <c r="E120" s="429" t="s">
        <v>1574</v>
      </c>
      <c r="F120" s="429" t="s">
        <v>1575</v>
      </c>
      <c r="G120" s="429" t="s">
        <v>1576</v>
      </c>
      <c r="H120" s="429" t="s">
        <v>1577</v>
      </c>
      <c r="I120" s="429" t="s">
        <v>1578</v>
      </c>
    </row>
    <row r="121" spans="3:9" hidden="1">
      <c r="C121" s="430" t="s">
        <v>1581</v>
      </c>
      <c r="D121" s="430"/>
      <c r="E121" s="156" t="s">
        <v>240</v>
      </c>
      <c r="F121" s="431" t="s">
        <v>240</v>
      </c>
      <c r="G121" s="432"/>
      <c r="H121" s="434" t="str">
        <f>IF(OR(E121="Click to select",F121="Click to select"),"-",IF(OR(E121="ANSP",E121="MET"),IF(OR(F121="Staff",F121="Other operating",F121="Exceptional items"),G121/(INDEX(Table_Inflation_IDX_ECZ[Inflation Index 2019 Actual],MATCH($O$4,Table_Inflation_IDX_ECZ[ER_CZ],0))/100),G121),G121))</f>
        <v>-</v>
      </c>
      <c r="I121" s="434" t="str">
        <f>IFERROR(H121/$E$23,"-")</f>
        <v>-</v>
      </c>
    </row>
    <row r="122" spans="3:9" hidden="1">
      <c r="C122" s="922" t="s">
        <v>1579</v>
      </c>
      <c r="D122" s="923"/>
      <c r="E122" s="923"/>
      <c r="F122" s="923"/>
      <c r="G122" s="923"/>
      <c r="H122" s="923"/>
      <c r="I122" s="924"/>
    </row>
    <row r="123" spans="3:9" ht="30" hidden="1" customHeight="1">
      <c r="C123" s="925" t="s">
        <v>1580</v>
      </c>
      <c r="D123" s="926"/>
      <c r="E123" s="926"/>
      <c r="F123" s="926"/>
      <c r="G123" s="926"/>
      <c r="H123" s="926"/>
      <c r="I123" s="927"/>
    </row>
    <row r="124" spans="3:9" hidden="1"/>
    <row r="125" spans="3:9" hidden="1">
      <c r="C125" s="428" t="s">
        <v>1584</v>
      </c>
      <c r="D125" s="429" t="s">
        <v>259</v>
      </c>
      <c r="E125" s="429" t="s">
        <v>1574</v>
      </c>
      <c r="F125" s="429" t="s">
        <v>1575</v>
      </c>
      <c r="G125" s="429" t="s">
        <v>1576</v>
      </c>
      <c r="H125" s="429" t="s">
        <v>1577</v>
      </c>
      <c r="I125" s="429" t="s">
        <v>1578</v>
      </c>
    </row>
    <row r="126" spans="3:9" hidden="1">
      <c r="C126" s="430" t="s">
        <v>1581</v>
      </c>
      <c r="D126" s="430"/>
      <c r="E126" s="156" t="s">
        <v>240</v>
      </c>
      <c r="F126" s="431" t="s">
        <v>240</v>
      </c>
      <c r="G126" s="432"/>
      <c r="H126" s="434" t="str">
        <f>IF(OR(E126="Click to select",F126="Click to select"),"-",IF(OR(E126="ANSP",E126="MET"),IF(OR(F126="Staff",F126="Other operating",F126="Exceptional items"),G126/(INDEX(Table_Inflation_IDX_ECZ[Inflation Index 2019 Actual],MATCH($O$4,Table_Inflation_IDX_ECZ[ER_CZ],0))/100),G126),G126))</f>
        <v>-</v>
      </c>
      <c r="I126" s="434" t="str">
        <f>IFERROR(H126/$E$23,"-")</f>
        <v>-</v>
      </c>
    </row>
    <row r="127" spans="3:9" hidden="1">
      <c r="C127" s="922" t="s">
        <v>1579</v>
      </c>
      <c r="D127" s="923"/>
      <c r="E127" s="923"/>
      <c r="F127" s="923"/>
      <c r="G127" s="923"/>
      <c r="H127" s="923"/>
      <c r="I127" s="924"/>
    </row>
    <row r="128" spans="3:9" ht="30" hidden="1" customHeight="1">
      <c r="C128" s="925" t="s">
        <v>1580</v>
      </c>
      <c r="D128" s="926"/>
      <c r="E128" s="926"/>
      <c r="F128" s="926"/>
      <c r="G128" s="926"/>
      <c r="H128" s="926"/>
      <c r="I128" s="927"/>
    </row>
    <row r="129" spans="3:9" hidden="1"/>
    <row r="130" spans="3:9" hidden="1">
      <c r="C130" s="428" t="s">
        <v>1585</v>
      </c>
      <c r="D130" s="429" t="s">
        <v>259</v>
      </c>
      <c r="E130" s="429" t="s">
        <v>1574</v>
      </c>
      <c r="F130" s="429" t="s">
        <v>1575</v>
      </c>
      <c r="G130" s="429" t="s">
        <v>1576</v>
      </c>
      <c r="H130" s="429" t="s">
        <v>1577</v>
      </c>
      <c r="I130" s="429" t="s">
        <v>1578</v>
      </c>
    </row>
    <row r="131" spans="3:9" hidden="1">
      <c r="C131" s="430" t="s">
        <v>1581</v>
      </c>
      <c r="D131" s="430"/>
      <c r="E131" s="156" t="s">
        <v>240</v>
      </c>
      <c r="F131" s="431" t="s">
        <v>240</v>
      </c>
      <c r="G131" s="432"/>
      <c r="H131" s="434" t="str">
        <f>IF(OR(E131="Click to select",F131="Click to select"),"-",IF(OR(E131="ANSP",E131="MET"),IF(OR(F131="Staff",F131="Other operating",F131="Exceptional items"),G131/(INDEX(Table_Inflation_IDX_ECZ[Inflation Index 2019 Actual],MATCH($O$4,Table_Inflation_IDX_ECZ[ER_CZ],0))/100),G131),G131))</f>
        <v>-</v>
      </c>
      <c r="I131" s="434" t="str">
        <f>IFERROR(H131/$E$23,"-")</f>
        <v>-</v>
      </c>
    </row>
    <row r="132" spans="3:9" hidden="1">
      <c r="C132" s="922" t="s">
        <v>1579</v>
      </c>
      <c r="D132" s="923"/>
      <c r="E132" s="923"/>
      <c r="F132" s="923"/>
      <c r="G132" s="923"/>
      <c r="H132" s="923"/>
      <c r="I132" s="924"/>
    </row>
    <row r="133" spans="3:9" ht="30" hidden="1" customHeight="1">
      <c r="C133" s="925" t="s">
        <v>1580</v>
      </c>
      <c r="D133" s="926"/>
      <c r="E133" s="926"/>
      <c r="F133" s="926"/>
      <c r="G133" s="926"/>
      <c r="H133" s="926"/>
      <c r="I133" s="927"/>
    </row>
    <row r="134" spans="3:9" hidden="1"/>
    <row r="135" spans="3:9" hidden="1">
      <c r="C135" s="428" t="s">
        <v>1586</v>
      </c>
      <c r="D135" s="429" t="s">
        <v>259</v>
      </c>
      <c r="E135" s="429" t="s">
        <v>1574</v>
      </c>
      <c r="F135" s="429" t="s">
        <v>1575</v>
      </c>
      <c r="G135" s="429" t="s">
        <v>1576</v>
      </c>
      <c r="H135" s="429" t="s">
        <v>1577</v>
      </c>
      <c r="I135" s="429" t="s">
        <v>1578</v>
      </c>
    </row>
    <row r="136" spans="3:9" hidden="1">
      <c r="C136" s="430" t="s">
        <v>1581</v>
      </c>
      <c r="D136" s="430"/>
      <c r="E136" s="156" t="s">
        <v>240</v>
      </c>
      <c r="F136" s="431" t="s">
        <v>240</v>
      </c>
      <c r="G136" s="432"/>
      <c r="H136" s="434" t="str">
        <f>IF(OR(E136="Click to select",F136="Click to select"),"-",IF(OR(E136="ANSP",E136="MET"),IF(OR(F136="Staff",F136="Other operating",F136="Exceptional items"),G136/(INDEX(Table_Inflation_IDX_ECZ[Inflation Index 2019 Actual],MATCH($O$4,Table_Inflation_IDX_ECZ[ER_CZ],0))/100),G136),G136))</f>
        <v>-</v>
      </c>
      <c r="I136" s="434" t="str">
        <f>IFERROR(H136/$E$23,"-")</f>
        <v>-</v>
      </c>
    </row>
    <row r="137" spans="3:9" hidden="1">
      <c r="C137" s="922" t="s">
        <v>1579</v>
      </c>
      <c r="D137" s="923"/>
      <c r="E137" s="923"/>
      <c r="F137" s="923"/>
      <c r="G137" s="923"/>
      <c r="H137" s="923"/>
      <c r="I137" s="924"/>
    </row>
    <row r="138" spans="3:9" ht="30" hidden="1" customHeight="1">
      <c r="C138" s="925" t="s">
        <v>1580</v>
      </c>
      <c r="D138" s="926"/>
      <c r="E138" s="926"/>
      <c r="F138" s="926"/>
      <c r="G138" s="926"/>
      <c r="H138" s="926"/>
      <c r="I138" s="927"/>
    </row>
    <row r="139" spans="3:9" hidden="1"/>
    <row r="140" spans="3:9" hidden="1">
      <c r="C140" s="428" t="s">
        <v>1587</v>
      </c>
      <c r="D140" s="429" t="s">
        <v>259</v>
      </c>
      <c r="E140" s="429" t="s">
        <v>1574</v>
      </c>
      <c r="F140" s="429" t="s">
        <v>1575</v>
      </c>
      <c r="G140" s="429" t="s">
        <v>1576</v>
      </c>
      <c r="H140" s="429" t="s">
        <v>1577</v>
      </c>
      <c r="I140" s="429" t="s">
        <v>1578</v>
      </c>
    </row>
    <row r="141" spans="3:9" hidden="1">
      <c r="C141" s="430" t="s">
        <v>1581</v>
      </c>
      <c r="D141" s="430"/>
      <c r="E141" s="156" t="s">
        <v>240</v>
      </c>
      <c r="F141" s="431" t="s">
        <v>240</v>
      </c>
      <c r="G141" s="432"/>
      <c r="H141" s="434" t="str">
        <f>IF(OR(E141="Click to select",F141="Click to select"),"-",IF(OR(E141="ANSP",E141="MET"),IF(OR(F141="Staff",F141="Other operating",F141="Exceptional items"),G141/(INDEX(Table_Inflation_IDX_ECZ[Inflation Index 2019 Actual],MATCH($O$4,Table_Inflation_IDX_ECZ[ER_CZ],0))/100),G141),G141))</f>
        <v>-</v>
      </c>
      <c r="I141" s="434" t="str">
        <f>IFERROR(H141/$E$23,"-")</f>
        <v>-</v>
      </c>
    </row>
    <row r="142" spans="3:9" hidden="1">
      <c r="C142" s="922" t="s">
        <v>1579</v>
      </c>
      <c r="D142" s="923"/>
      <c r="E142" s="923"/>
      <c r="F142" s="923"/>
      <c r="G142" s="923"/>
      <c r="H142" s="923"/>
      <c r="I142" s="924"/>
    </row>
    <row r="143" spans="3:9" ht="30" hidden="1" customHeight="1">
      <c r="C143" s="925" t="s">
        <v>1580</v>
      </c>
      <c r="D143" s="926"/>
      <c r="E143" s="926"/>
      <c r="F143" s="926"/>
      <c r="G143" s="926"/>
      <c r="H143" s="926"/>
      <c r="I143" s="927"/>
    </row>
    <row r="144" spans="3:9" hidden="1"/>
    <row r="145" spans="3:15" hidden="1">
      <c r="C145" s="428" t="s">
        <v>1588</v>
      </c>
      <c r="D145" s="429" t="s">
        <v>259</v>
      </c>
      <c r="E145" s="429" t="s">
        <v>1574</v>
      </c>
      <c r="F145" s="429" t="s">
        <v>1575</v>
      </c>
      <c r="G145" s="429" t="s">
        <v>1576</v>
      </c>
      <c r="H145" s="429" t="s">
        <v>1577</v>
      </c>
      <c r="I145" s="429" t="s">
        <v>1578</v>
      </c>
    </row>
    <row r="146" spans="3:15" hidden="1">
      <c r="C146" s="430" t="s">
        <v>1581</v>
      </c>
      <c r="D146" s="430"/>
      <c r="E146" s="156" t="s">
        <v>240</v>
      </c>
      <c r="F146" s="431" t="s">
        <v>240</v>
      </c>
      <c r="G146" s="432"/>
      <c r="H146" s="434" t="str">
        <f>IF(OR(E146="Click to select",F146="Click to select"),"-",IF(OR(E146="ANSP",E146="MET"),IF(OR(F146="Staff",F146="Other operating",F146="Exceptional items"),G146/(INDEX(Table_Inflation_IDX_ECZ[Inflation Index 2019 Actual],MATCH($O$4,Table_Inflation_IDX_ECZ[ER_CZ],0))/100),G146),G146))</f>
        <v>-</v>
      </c>
      <c r="I146" s="434" t="str">
        <f>IFERROR(H146/$E$23,"-")</f>
        <v>-</v>
      </c>
    </row>
    <row r="147" spans="3:15" hidden="1">
      <c r="C147" s="922" t="s">
        <v>1579</v>
      </c>
      <c r="D147" s="923"/>
      <c r="E147" s="923"/>
      <c r="F147" s="923"/>
      <c r="G147" s="923"/>
      <c r="H147" s="923"/>
      <c r="I147" s="924"/>
    </row>
    <row r="148" spans="3:15" ht="30" hidden="1" customHeight="1">
      <c r="C148" s="925" t="s">
        <v>1580</v>
      </c>
      <c r="D148" s="926"/>
      <c r="E148" s="926"/>
      <c r="F148" s="926"/>
      <c r="G148" s="926"/>
      <c r="H148" s="926"/>
      <c r="I148" s="927"/>
    </row>
    <row r="149" spans="3:15" hidden="1"/>
    <row r="150" spans="3:15" hidden="1">
      <c r="C150" s="428" t="s">
        <v>1589</v>
      </c>
      <c r="D150" s="429" t="s">
        <v>259</v>
      </c>
      <c r="E150" s="429" t="s">
        <v>1574</v>
      </c>
      <c r="F150" s="429" t="s">
        <v>1575</v>
      </c>
      <c r="G150" s="429" t="s">
        <v>1576</v>
      </c>
      <c r="H150" s="429" t="s">
        <v>1577</v>
      </c>
      <c r="I150" s="429" t="s">
        <v>1578</v>
      </c>
    </row>
    <row r="151" spans="3:15" hidden="1">
      <c r="C151" s="430" t="s">
        <v>1581</v>
      </c>
      <c r="D151" s="430"/>
      <c r="E151" s="156" t="s">
        <v>240</v>
      </c>
      <c r="F151" s="431" t="s">
        <v>240</v>
      </c>
      <c r="G151" s="432"/>
      <c r="H151" s="434" t="str">
        <f>IF(OR(E151="Click to select",F151="Click to select"),"-",IF(OR(E151="ANSP",E151="MET"),IF(OR(F151="Staff",F151="Other operating",F151="Exceptional items"),G151/(INDEX(Table_Inflation_IDX_ECZ[Inflation Index 2019 Actual],MATCH($O$4,Table_Inflation_IDX_ECZ[ER_CZ],0))/100),G151),G151))</f>
        <v>-</v>
      </c>
      <c r="I151" s="434" t="str">
        <f>IFERROR(H151/$E$23,"-")</f>
        <v>-</v>
      </c>
    </row>
    <row r="152" spans="3:15" hidden="1">
      <c r="C152" s="922" t="s">
        <v>1579</v>
      </c>
      <c r="D152" s="923"/>
      <c r="E152" s="923"/>
      <c r="F152" s="923"/>
      <c r="G152" s="923"/>
      <c r="H152" s="923"/>
      <c r="I152" s="924"/>
    </row>
    <row r="153" spans="3:15" ht="30" hidden="1" customHeight="1">
      <c r="C153" s="925" t="s">
        <v>1580</v>
      </c>
      <c r="D153" s="926"/>
      <c r="E153" s="926"/>
      <c r="F153" s="926"/>
      <c r="G153" s="926"/>
      <c r="H153" s="926"/>
      <c r="I153" s="927"/>
    </row>
    <row r="154" spans="3:15" hidden="1"/>
    <row r="155" spans="3:15" hidden="1">
      <c r="C155" s="428" t="s">
        <v>1590</v>
      </c>
      <c r="D155" s="429" t="s">
        <v>259</v>
      </c>
      <c r="E155" s="429" t="s">
        <v>1574</v>
      </c>
      <c r="F155" s="429" t="s">
        <v>1575</v>
      </c>
      <c r="G155" s="429" t="s">
        <v>1576</v>
      </c>
      <c r="H155" s="429" t="s">
        <v>1577</v>
      </c>
      <c r="I155" s="429" t="s">
        <v>1578</v>
      </c>
    </row>
    <row r="156" spans="3:15" hidden="1">
      <c r="C156" s="430" t="s">
        <v>1581</v>
      </c>
      <c r="D156" s="430"/>
      <c r="E156" s="156" t="s">
        <v>240</v>
      </c>
      <c r="F156" s="431" t="s">
        <v>240</v>
      </c>
      <c r="G156" s="432"/>
      <c r="H156" s="434" t="str">
        <f>IF(OR(E156="Click to select",F156="Click to select"),"-",IF(OR(E156="ANSP",E156="MET"),IF(OR(F156="Staff",F156="Other operating",F156="Exceptional items"),G156/(INDEX(Table_Inflation_IDX_ECZ[Inflation Index 2019 Actual],MATCH($O$4,Table_Inflation_IDX_ECZ[ER_CZ],0))/100),G156),G156))</f>
        <v>-</v>
      </c>
      <c r="I156" s="434" t="str">
        <f>IFERROR(H156/$E$23,"-")</f>
        <v>-</v>
      </c>
    </row>
    <row r="157" spans="3:15" hidden="1">
      <c r="C157" s="922" t="s">
        <v>1579</v>
      </c>
      <c r="D157" s="923"/>
      <c r="E157" s="923"/>
      <c r="F157" s="923"/>
      <c r="G157" s="923"/>
      <c r="H157" s="923"/>
      <c r="I157" s="924"/>
    </row>
    <row r="158" spans="3:15" ht="30" hidden="1" customHeight="1">
      <c r="C158" s="925" t="s">
        <v>1580</v>
      </c>
      <c r="D158" s="926"/>
      <c r="E158" s="926"/>
      <c r="F158" s="926"/>
      <c r="G158" s="926"/>
      <c r="H158" s="926"/>
      <c r="I158" s="927"/>
    </row>
    <row r="159" spans="3:15" hidden="1"/>
    <row r="160" spans="3:15" hidden="1">
      <c r="C160" s="933" t="s">
        <v>1618</v>
      </c>
      <c r="D160" s="934"/>
      <c r="E160" s="934"/>
      <c r="F160" s="935"/>
      <c r="G160" s="433" t="s">
        <v>1576</v>
      </c>
      <c r="H160" s="433" t="s">
        <v>1577</v>
      </c>
      <c r="I160" s="433" t="s">
        <v>1578</v>
      </c>
      <c r="O160" s="462" t="str">
        <f>IFERROR(IF(ROUND(G161/100,0)&lt;&gt;ROUND(I30/100,0),"The total adjustment in nominal NC does not match the figure in section b)",""),"")</f>
        <v/>
      </c>
    </row>
    <row r="161" spans="3:15" hidden="1">
      <c r="C161" s="936"/>
      <c r="D161" s="937"/>
      <c r="E161" s="937"/>
      <c r="F161" s="938"/>
      <c r="G161" s="435" t="str">
        <f>IF(G156+G151+G146+G141+G136+G131+G126+G121+G116+G111=0,"-",G156+G151+G146+G141+G136+G131+G126+G121+G116+G111)</f>
        <v>-</v>
      </c>
      <c r="H161" s="435" t="str">
        <f>IFERROR(H156+H151+H146+H141+H136+H131+H126+H121+H116+H111,"-")</f>
        <v>-</v>
      </c>
      <c r="I161" s="435" t="str">
        <f>IFERROR(I156+I151+I146+I141+I136+I131+I126+I121+I116+I111,"-")</f>
        <v>-</v>
      </c>
      <c r="O161" s="462" t="str">
        <f>IFERROR(IF(ROUND(H161/100,0)&lt;&gt;ROUND(I31/100,0),"The total adjustment in real NC does not match the figure in section b)",""),"")</f>
        <v/>
      </c>
    </row>
    <row r="162" spans="3:15" hidden="1"/>
    <row r="164" spans="3:15">
      <c r="C164" s="444" t="s">
        <v>1620</v>
      </c>
    </row>
    <row r="165" spans="3:15" ht="6.95" customHeight="1"/>
    <row r="166" spans="3:15">
      <c r="C166" s="939" t="s">
        <v>1595</v>
      </c>
      <c r="D166" s="941" t="s">
        <v>1596</v>
      </c>
      <c r="E166" s="942"/>
      <c r="F166" s="945" t="s">
        <v>1600</v>
      </c>
      <c r="G166" s="946"/>
      <c r="H166" s="947"/>
      <c r="I166" s="429" t="s">
        <v>1597</v>
      </c>
      <c r="O166" s="463" t="s">
        <v>1614</v>
      </c>
    </row>
    <row r="167" spans="3:15">
      <c r="C167" s="940"/>
      <c r="D167" s="958" t="str">
        <f>O167</f>
        <v>-</v>
      </c>
      <c r="E167" s="959"/>
      <c r="F167" s="960" t="str">
        <f>IFERROR(IF(D167=$P$4,"CRCO correction factor May 2019 (on 12 months)","Other"),"-")</f>
        <v>-</v>
      </c>
      <c r="G167" s="961"/>
      <c r="H167" s="962"/>
      <c r="I167" s="2"/>
      <c r="O167" s="464" t="str">
        <f>IFERROR(INDEX(Table_CRCO_Factor[May 2019 (based on 12 months)],MATCH($O$4,Table_CRCO_Factor[ECZ],0)),"-")</f>
        <v>-</v>
      </c>
    </row>
    <row r="168" spans="3:15" ht="30" hidden="1" customHeight="1">
      <c r="C168" s="925" t="s">
        <v>1580</v>
      </c>
      <c r="D168" s="926"/>
      <c r="E168" s="926"/>
      <c r="F168" s="926"/>
      <c r="G168" s="926"/>
      <c r="H168" s="926"/>
      <c r="I168" s="927"/>
    </row>
    <row r="170" spans="3:15">
      <c r="C170" s="428" t="s">
        <v>1619</v>
      </c>
      <c r="D170" s="317" t="s">
        <v>240</v>
      </c>
    </row>
    <row r="171" spans="3:15" hidden="1">
      <c r="C171" s="931" t="s">
        <v>1581</v>
      </c>
      <c r="D171" s="932"/>
      <c r="H171" s="429" t="s">
        <v>1597</v>
      </c>
      <c r="I171" s="2"/>
    </row>
    <row r="172" spans="3:15" hidden="1">
      <c r="C172" s="922" t="s">
        <v>1579</v>
      </c>
      <c r="D172" s="923"/>
      <c r="E172" s="923"/>
      <c r="F172" s="923"/>
      <c r="G172" s="923"/>
      <c r="H172" s="923"/>
      <c r="I172" s="924"/>
    </row>
    <row r="173" spans="3:15" hidden="1">
      <c r="C173" s="925" t="s">
        <v>1580</v>
      </c>
      <c r="D173" s="926"/>
      <c r="E173" s="926"/>
      <c r="F173" s="926"/>
      <c r="G173" s="926"/>
      <c r="H173" s="926"/>
      <c r="I173" s="927"/>
    </row>
    <row r="175" spans="3:15">
      <c r="C175" s="951" t="s">
        <v>1621</v>
      </c>
      <c r="D175" s="952"/>
      <c r="E175" s="952"/>
      <c r="F175" s="952"/>
      <c r="G175" s="952"/>
      <c r="H175" s="953"/>
      <c r="I175" s="442">
        <f>I171+I167</f>
        <v>0</v>
      </c>
      <c r="O175" s="462" t="str">
        <f>IFERROR(IF(ROUND(I175/100,0)&lt;&gt;ROUND(I33/100,0),"The service units total adjustment does not match the figure in section b)",""),"")</f>
        <v/>
      </c>
    </row>
    <row r="176" spans="3:15" ht="9" customHeight="1"/>
    <row r="177" spans="3:9" ht="9" customHeight="1"/>
    <row r="178" spans="3:9">
      <c r="C178" s="76" t="s">
        <v>1726</v>
      </c>
    </row>
    <row r="179" spans="3:9" ht="7.5" customHeight="1"/>
    <row r="180" spans="3:9" ht="60" customHeight="1">
      <c r="C180" s="979"/>
      <c r="D180" s="980"/>
      <c r="E180" s="980"/>
      <c r="F180" s="980"/>
      <c r="G180" s="980"/>
      <c r="H180" s="980"/>
      <c r="I180" s="981"/>
    </row>
    <row r="181" spans="3:9">
      <c r="C181" s="300" t="s">
        <v>1424</v>
      </c>
      <c r="D181" s="152"/>
      <c r="E181" s="152"/>
      <c r="F181" s="152"/>
      <c r="G181" s="152"/>
      <c r="H181" s="152"/>
      <c r="I181" s="152"/>
    </row>
    <row r="183" spans="3:9">
      <c r="C183" s="76" t="s">
        <v>1727</v>
      </c>
    </row>
    <row r="184" spans="3:9">
      <c r="C184" s="76"/>
    </row>
    <row r="185" spans="3:9">
      <c r="C185" s="951" t="s">
        <v>1622</v>
      </c>
      <c r="D185" s="953"/>
      <c r="E185" s="317" t="s">
        <v>240</v>
      </c>
      <c r="F185" s="941" t="str">
        <f>IF(E185="yes","Detailed in part 3.4.6 of the performance plan","")</f>
        <v/>
      </c>
      <c r="G185" s="982"/>
      <c r="H185" s="982"/>
      <c r="I185" s="942"/>
    </row>
    <row r="186" spans="3:9">
      <c r="C186" s="951" t="s">
        <v>1623</v>
      </c>
      <c r="D186" s="953"/>
      <c r="E186" s="317" t="s">
        <v>240</v>
      </c>
      <c r="F186" s="941" t="str">
        <f>IF(E186="yes","Detailed in part 3.4.5 of the performance plan","")</f>
        <v/>
      </c>
      <c r="G186" s="982"/>
      <c r="H186" s="982"/>
      <c r="I186" s="942"/>
    </row>
    <row r="188" spans="3:9">
      <c r="C188" s="76"/>
    </row>
    <row r="189" spans="3:9">
      <c r="C189" s="76" t="s">
        <v>1728</v>
      </c>
    </row>
    <row r="190" spans="3:9" ht="7.5" customHeight="1"/>
    <row r="191" spans="3:9" ht="60" customHeight="1">
      <c r="C191" s="979"/>
      <c r="D191" s="980"/>
      <c r="E191" s="980"/>
      <c r="F191" s="980"/>
      <c r="G191" s="980"/>
      <c r="H191" s="980"/>
      <c r="I191" s="981"/>
    </row>
    <row r="192" spans="3:9">
      <c r="C192" s="300" t="s">
        <v>1424</v>
      </c>
      <c r="D192" s="152"/>
      <c r="E192" s="152"/>
      <c r="F192" s="152"/>
      <c r="G192" s="152"/>
      <c r="H192" s="152"/>
      <c r="I192" s="152"/>
    </row>
    <row r="194" spans="3:12" ht="30" customHeight="1">
      <c r="C194" s="969" t="s">
        <v>1729</v>
      </c>
      <c r="D194" s="969"/>
      <c r="E194" s="969"/>
      <c r="F194" s="969"/>
      <c r="G194" s="969"/>
      <c r="H194" s="969"/>
      <c r="I194" s="969"/>
      <c r="J194" s="461"/>
      <c r="K194" s="461"/>
      <c r="L194" s="461"/>
    </row>
    <row r="195" spans="3:12" ht="7.5" customHeight="1"/>
    <row r="196" spans="3:12" ht="60" customHeight="1">
      <c r="C196" s="979"/>
      <c r="D196" s="980"/>
      <c r="E196" s="980"/>
      <c r="F196" s="980"/>
      <c r="G196" s="980"/>
      <c r="H196" s="980"/>
      <c r="I196" s="981"/>
    </row>
    <row r="197" spans="3:12">
      <c r="C197" s="300" t="s">
        <v>1626</v>
      </c>
      <c r="D197" s="152"/>
      <c r="E197" s="152"/>
      <c r="F197" s="152"/>
      <c r="G197" s="152"/>
      <c r="H197" s="152"/>
      <c r="I197" s="152"/>
    </row>
  </sheetData>
  <mergeCells count="74">
    <mergeCell ref="C58:I58"/>
    <mergeCell ref="F38:G38"/>
    <mergeCell ref="H38:I38"/>
    <mergeCell ref="C42:I42"/>
    <mergeCell ref="C43:I43"/>
    <mergeCell ref="C47:I47"/>
    <mergeCell ref="C48:I48"/>
    <mergeCell ref="C52:I52"/>
    <mergeCell ref="C53:I53"/>
    <mergeCell ref="C57:I57"/>
    <mergeCell ref="C88:I88"/>
    <mergeCell ref="C62:I62"/>
    <mergeCell ref="C63:I63"/>
    <mergeCell ref="C67:I67"/>
    <mergeCell ref="C68:I68"/>
    <mergeCell ref="C72:I72"/>
    <mergeCell ref="C73:I73"/>
    <mergeCell ref="C77:I77"/>
    <mergeCell ref="C78:I78"/>
    <mergeCell ref="C82:I82"/>
    <mergeCell ref="C83:I83"/>
    <mergeCell ref="C87:I87"/>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80:I180"/>
    <mergeCell ref="C153:I153"/>
    <mergeCell ref="C127:I127"/>
    <mergeCell ref="C128:I128"/>
    <mergeCell ref="C132:I132"/>
    <mergeCell ref="C133:I133"/>
    <mergeCell ref="C137:I137"/>
    <mergeCell ref="C138:I138"/>
    <mergeCell ref="C142:I142"/>
    <mergeCell ref="C143:I143"/>
    <mergeCell ref="C147:I147"/>
    <mergeCell ref="C148:I148"/>
    <mergeCell ref="C152:I152"/>
    <mergeCell ref="C168:I168"/>
    <mergeCell ref="C171:D171"/>
    <mergeCell ref="C172:I172"/>
    <mergeCell ref="C173:I173"/>
    <mergeCell ref="C175:H175"/>
    <mergeCell ref="C157:I157"/>
    <mergeCell ref="C158:I158"/>
    <mergeCell ref="C160:F161"/>
    <mergeCell ref="C166:C167"/>
    <mergeCell ref="D166:E166"/>
    <mergeCell ref="F166:H166"/>
    <mergeCell ref="D167:E167"/>
    <mergeCell ref="F167:H167"/>
    <mergeCell ref="C194:I194"/>
    <mergeCell ref="C196:I196"/>
    <mergeCell ref="C191:I191"/>
    <mergeCell ref="C185:D185"/>
    <mergeCell ref="F185:I185"/>
    <mergeCell ref="C186:D186"/>
    <mergeCell ref="F186:I186"/>
  </mergeCells>
  <conditionalFormatting sqref="H38">
    <cfRule type="expression" dxfId="465" priority="48">
      <formula>$A$2="PRINT"</formula>
    </cfRule>
  </conditionalFormatting>
  <conditionalFormatting sqref="E41">
    <cfRule type="expression" dxfId="464" priority="47">
      <formula>$A$2="PRINT"</formula>
    </cfRule>
  </conditionalFormatting>
  <conditionalFormatting sqref="F41">
    <cfRule type="expression" dxfId="463" priority="46">
      <formula>$A$2="PRINT"</formula>
    </cfRule>
  </conditionalFormatting>
  <conditionalFormatting sqref="E46">
    <cfRule type="expression" dxfId="462" priority="45">
      <formula>$A$2="PRINT"</formula>
    </cfRule>
  </conditionalFormatting>
  <conditionalFormatting sqref="E71">
    <cfRule type="expression" dxfId="461" priority="40">
      <formula>$A$2="PRINT"</formula>
    </cfRule>
  </conditionalFormatting>
  <conditionalFormatting sqref="E51">
    <cfRule type="expression" dxfId="460" priority="44">
      <formula>$A$2="PRINT"</formula>
    </cfRule>
  </conditionalFormatting>
  <conditionalFormatting sqref="E56">
    <cfRule type="expression" dxfId="459" priority="43">
      <formula>$A$2="PRINT"</formula>
    </cfRule>
  </conditionalFormatting>
  <conditionalFormatting sqref="E76">
    <cfRule type="expression" dxfId="458" priority="39">
      <formula>$A$2="PRINT"</formula>
    </cfRule>
  </conditionalFormatting>
  <conditionalFormatting sqref="E61">
    <cfRule type="expression" dxfId="457" priority="42">
      <formula>$A$2="PRINT"</formula>
    </cfRule>
  </conditionalFormatting>
  <conditionalFormatting sqref="E66">
    <cfRule type="expression" dxfId="456" priority="41">
      <formula>$A$2="PRINT"</formula>
    </cfRule>
  </conditionalFormatting>
  <conditionalFormatting sqref="E81">
    <cfRule type="expression" dxfId="455" priority="38">
      <formula>$A$2="PRINT"</formula>
    </cfRule>
  </conditionalFormatting>
  <conditionalFormatting sqref="E86">
    <cfRule type="expression" dxfId="454" priority="37">
      <formula>$A$2="PRINT"</formula>
    </cfRule>
  </conditionalFormatting>
  <conditionalFormatting sqref="F46">
    <cfRule type="expression" dxfId="453" priority="36">
      <formula>$A$2="PRINT"</formula>
    </cfRule>
  </conditionalFormatting>
  <conditionalFormatting sqref="F51">
    <cfRule type="expression" dxfId="452" priority="35">
      <formula>$A$2="PRINT"</formula>
    </cfRule>
  </conditionalFormatting>
  <conditionalFormatting sqref="F56">
    <cfRule type="expression" dxfId="451" priority="34">
      <formula>$A$2="PRINT"</formula>
    </cfRule>
  </conditionalFormatting>
  <conditionalFormatting sqref="F61">
    <cfRule type="expression" dxfId="450" priority="33">
      <formula>$A$2="PRINT"</formula>
    </cfRule>
  </conditionalFormatting>
  <conditionalFormatting sqref="F66">
    <cfRule type="expression" dxfId="449" priority="32">
      <formula>$A$2="PRINT"</formula>
    </cfRule>
  </conditionalFormatting>
  <conditionalFormatting sqref="F71">
    <cfRule type="expression" dxfId="448" priority="31">
      <formula>$A$2="PRINT"</formula>
    </cfRule>
  </conditionalFormatting>
  <conditionalFormatting sqref="F76">
    <cfRule type="expression" dxfId="447" priority="30">
      <formula>$A$2="PRINT"</formula>
    </cfRule>
  </conditionalFormatting>
  <conditionalFormatting sqref="F81">
    <cfRule type="expression" dxfId="446" priority="29">
      <formula>$A$2="PRINT"</formula>
    </cfRule>
  </conditionalFormatting>
  <conditionalFormatting sqref="F86">
    <cfRule type="expression" dxfId="445" priority="28">
      <formula>$A$2="PRINT"</formula>
    </cfRule>
  </conditionalFormatting>
  <conditionalFormatting sqref="D100">
    <cfRule type="expression" dxfId="444" priority="27">
      <formula>$A$2="PRINT"</formula>
    </cfRule>
  </conditionalFormatting>
  <conditionalFormatting sqref="H108">
    <cfRule type="expression" dxfId="443" priority="26">
      <formula>$A$2="PRINT"</formula>
    </cfRule>
  </conditionalFormatting>
  <conditionalFormatting sqref="E111">
    <cfRule type="expression" dxfId="442" priority="25">
      <formula>$A$2="PRINT"</formula>
    </cfRule>
  </conditionalFormatting>
  <conditionalFormatting sqref="F111">
    <cfRule type="expression" dxfId="441" priority="24">
      <formula>$A$2="PRINT"</formula>
    </cfRule>
  </conditionalFormatting>
  <conditionalFormatting sqref="E116">
    <cfRule type="expression" dxfId="440" priority="23">
      <formula>$A$2="PRINT"</formula>
    </cfRule>
  </conditionalFormatting>
  <conditionalFormatting sqref="E141">
    <cfRule type="expression" dxfId="439" priority="18">
      <formula>$A$2="PRINT"</formula>
    </cfRule>
  </conditionalFormatting>
  <conditionalFormatting sqref="E121">
    <cfRule type="expression" dxfId="438" priority="22">
      <formula>$A$2="PRINT"</formula>
    </cfRule>
  </conditionalFormatting>
  <conditionalFormatting sqref="E126">
    <cfRule type="expression" dxfId="437" priority="21">
      <formula>$A$2="PRINT"</formula>
    </cfRule>
  </conditionalFormatting>
  <conditionalFormatting sqref="E146">
    <cfRule type="expression" dxfId="436" priority="17">
      <formula>$A$2="PRINT"</formula>
    </cfRule>
  </conditionalFormatting>
  <conditionalFormatting sqref="E131">
    <cfRule type="expression" dxfId="435" priority="20">
      <formula>$A$2="PRINT"</formula>
    </cfRule>
  </conditionalFormatting>
  <conditionalFormatting sqref="E136">
    <cfRule type="expression" dxfId="434" priority="19">
      <formula>$A$2="PRINT"</formula>
    </cfRule>
  </conditionalFormatting>
  <conditionalFormatting sqref="E151">
    <cfRule type="expression" dxfId="433" priority="16">
      <formula>$A$2="PRINT"</formula>
    </cfRule>
  </conditionalFormatting>
  <conditionalFormatting sqref="E156">
    <cfRule type="expression" dxfId="432" priority="15">
      <formula>$A$2="PRINT"</formula>
    </cfRule>
  </conditionalFormatting>
  <conditionalFormatting sqref="F116">
    <cfRule type="expression" dxfId="431" priority="14">
      <formula>$A$2="PRINT"</formula>
    </cfRule>
  </conditionalFormatting>
  <conditionalFormatting sqref="F121">
    <cfRule type="expression" dxfId="430" priority="13">
      <formula>$A$2="PRINT"</formula>
    </cfRule>
  </conditionalFormatting>
  <conditionalFormatting sqref="F126">
    <cfRule type="expression" dxfId="429" priority="12">
      <formula>$A$2="PRINT"</formula>
    </cfRule>
  </conditionalFormatting>
  <conditionalFormatting sqref="F131">
    <cfRule type="expression" dxfId="428" priority="11">
      <formula>$A$2="PRINT"</formula>
    </cfRule>
  </conditionalFormatting>
  <conditionalFormatting sqref="F136">
    <cfRule type="expression" dxfId="427" priority="10">
      <formula>$A$2="PRINT"</formula>
    </cfRule>
  </conditionalFormatting>
  <conditionalFormatting sqref="F141">
    <cfRule type="expression" dxfId="426" priority="9">
      <formula>$A$2="PRINT"</formula>
    </cfRule>
  </conditionalFormatting>
  <conditionalFormatting sqref="F146">
    <cfRule type="expression" dxfId="425" priority="8">
      <formula>$A$2="PRINT"</formula>
    </cfRule>
  </conditionalFormatting>
  <conditionalFormatting sqref="F151">
    <cfRule type="expression" dxfId="424" priority="7">
      <formula>$A$2="PRINT"</formula>
    </cfRule>
  </conditionalFormatting>
  <conditionalFormatting sqref="F156">
    <cfRule type="expression" dxfId="423" priority="6">
      <formula>$A$2="PRINT"</formula>
    </cfRule>
  </conditionalFormatting>
  <conditionalFormatting sqref="D170">
    <cfRule type="expression" dxfId="422" priority="5">
      <formula>$A$2="PRINT"</formula>
    </cfRule>
  </conditionalFormatting>
  <conditionalFormatting sqref="E185">
    <cfRule type="expression" dxfId="421" priority="2">
      <formula>$A$2="PRINT"</formula>
    </cfRule>
  </conditionalFormatting>
  <conditionalFormatting sqref="E186">
    <cfRule type="expression" dxfId="420" priority="1">
      <formula>$A$2="PRINT"</formula>
    </cfRule>
  </conditionalFormatting>
  <dataValidations count="4">
    <dataValidation type="list" allowBlank="1" showInputMessage="1" showErrorMessage="1" sqref="D100 D170 E185:E187" xr:uid="{00000000-0002-0000-2300-000000000000}">
      <formula1>" Click to select,Yes,No"</formula1>
    </dataValidation>
    <dataValidation type="list" allowBlank="1" showInputMessage="1" showErrorMessage="1" sqref="F41 F46 F51 F56 F61 F66 F71 F76 F81 F86 F111 F116 F121 F126 F131 F136 F141 F146 F151 F156" xr:uid="{00000000-0002-0000-2300-000001000000}">
      <formula1>" Click to select,Staff,Other operating,Depreciation,Cost of capital,Exceptional items"</formula1>
    </dataValidation>
    <dataValidation type="list" allowBlank="1" showInputMessage="1" showErrorMessage="1" sqref="E41 E46 E51 E56 E61 E66 E71 E76 E81 E86 E111 E116 E121 E126 E131 E136 E141 E146 E151 E156" xr:uid="{00000000-0002-0000-2300-000002000000}">
      <formula1>" Click to select,ANSP,MET,NSA/EUROCONTROL"</formula1>
    </dataValidation>
    <dataValidation type="list" allowBlank="1" showInputMessage="1" showErrorMessage="1" sqref="H38:I38 H108:I108" xr:uid="{00000000-0002-0000-2300-000003000000}">
      <formula1>" Click to select,0,1,2,3,4,5,6,7,8,9,10"</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tabColor theme="2" tint="-0.249977111117893"/>
    <pageSetUpPr fitToPage="1"/>
  </sheetPr>
  <dimension ref="A2:R197"/>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3.28515625" customWidth="1"/>
    <col min="4" max="9" width="16.28515625" customWidth="1"/>
    <col min="10" max="10" width="1.28515625" customWidth="1"/>
    <col min="11" max="12" width="14" customWidth="1"/>
    <col min="13" max="13" width="1.42578125" customWidth="1"/>
  </cols>
  <sheetData>
    <row r="2" spans="1:18" ht="18.75" hidden="1">
      <c r="A2" s="365"/>
      <c r="C2" s="42" t="s">
        <v>1058</v>
      </c>
    </row>
    <row r="3" spans="1:18" hidden="1">
      <c r="A3" s="107"/>
      <c r="C3" s="86"/>
    </row>
    <row r="4" spans="1:18" ht="18" thickBot="1">
      <c r="C4" s="32" t="s">
        <v>1008</v>
      </c>
      <c r="D4" s="32"/>
      <c r="E4" s="32"/>
      <c r="F4" s="32"/>
      <c r="G4" s="32"/>
      <c r="H4" s="32"/>
      <c r="I4" s="32"/>
      <c r="J4" s="32"/>
      <c r="K4" s="32"/>
      <c r="L4" s="32"/>
      <c r="O4" s="443" t="str">
        <f>MID($C$6,FIND(" -",$C$6)+3,LEN($C$6)-FIND(" -",$C$6)+1)</f>
        <v/>
      </c>
      <c r="P4" s="443" t="e">
        <f>INDEX(Table_CRCO_Factor[May 2019 (based on 12 months)],MATCH($O$4,Table_CRCO_Factor[ECZ],0))</f>
        <v>#N/A</v>
      </c>
      <c r="Q4" s="443" t="e">
        <f ca="1">IF(AND($F$16&lt;&gt;"",ROUND($F$16/1000,0)&lt;&gt;ROUND('1.2 Traffic forecasts'!$F$93+'1.2 Traffic forecasts'!$G$93,0)),", 2020/2021","")&amp;IF(AND($G$16&lt;&gt;"",ROUND($G$16/1000,0)&lt;&gt;ROUND('1.2 Traffic forecasts'!$H$93,0)),", 2022","")&amp;IF(AND($H$16&lt;&gt;"",ROUND($H$16/1000,0)&lt;&gt;ROUND('1.2 Traffic forecasts'!$I$93,0)),", 2023","")&amp;IF(AND($I$16&lt;&gt;"",ROUND($I$16/1000,0)&lt;&gt;ROUND('1.2 Traffic forecasts'!$J$93,0)),", 2024","")</f>
        <v>#VALUE!</v>
      </c>
      <c r="R4" s="443" t="e">
        <f>IF(AND($F$16&lt;&gt;"",ROUND($F$16/1000,0)&lt;&gt;ROUND('1.2 Traffic forecasts'!$F$99+'1.2 Traffic forecasts'!$G$99,0)),", 2020/2021","")&amp;IF(AND($G$16&lt;&gt;"",ROUND($G$16/1000,0)&lt;&gt;ROUND('1.2 Traffic forecasts'!$H$99,0)),", 2022","")&amp;IF(AND($H$16&lt;&gt;"",ROUND($H$16/1000,0)&lt;&gt;ROUND('1.2 Traffic forecasts'!$I$99,0)),", 2023","")&amp;IF(AND($I$16&lt;&gt;"",ROUND($I$16/1000,0)&lt;&gt;ROUND('1.2 Traffic forecasts'!$J$99,0)),", 2024","")</f>
        <v>#VALUE!</v>
      </c>
    </row>
    <row r="5" spans="1:18">
      <c r="C5" s="227"/>
      <c r="D5" s="227"/>
      <c r="E5" s="227"/>
      <c r="F5" s="227"/>
      <c r="G5" s="247"/>
      <c r="H5" s="247"/>
      <c r="I5" s="247"/>
      <c r="J5" s="247"/>
      <c r="K5" s="247"/>
      <c r="L5" s="247"/>
    </row>
    <row r="6" spans="1:18" ht="15.75">
      <c r="C6" s="117" t="str">
        <f>"En Route Charging Zone #5 - " &amp; IF('1.1 The situation'!$C$86="","",'1.1 The situation'!$C$86)</f>
        <v xml:space="preserve">En Route Charging Zone #5 - </v>
      </c>
      <c r="D6" s="117"/>
      <c r="E6" s="117"/>
      <c r="F6" s="117"/>
    </row>
    <row r="7" spans="1:18">
      <c r="B7" s="85"/>
    </row>
    <row r="8" spans="1:18">
      <c r="B8" s="85"/>
      <c r="C8" s="76" t="s">
        <v>1643</v>
      </c>
    </row>
    <row r="9" spans="1:18">
      <c r="B9" s="85"/>
    </row>
    <row r="10" spans="1:18">
      <c r="B10" s="85"/>
      <c r="C10" s="251" t="s">
        <v>1059</v>
      </c>
      <c r="D10" s="351" t="s">
        <v>1433</v>
      </c>
      <c r="E10" s="351" t="s">
        <v>1060</v>
      </c>
      <c r="F10" s="418" t="s">
        <v>1559</v>
      </c>
      <c r="G10" s="418"/>
      <c r="H10" s="418"/>
      <c r="I10" s="418"/>
      <c r="J10" s="252"/>
      <c r="K10" s="253" t="s">
        <v>713</v>
      </c>
      <c r="L10" s="419" t="s">
        <v>713</v>
      </c>
      <c r="M10" s="182"/>
    </row>
    <row r="11" spans="1:18">
      <c r="B11" s="85"/>
      <c r="C11" s="423" t="s">
        <v>1070</v>
      </c>
      <c r="D11" s="350" t="s">
        <v>1432</v>
      </c>
      <c r="E11" s="251" t="s">
        <v>710</v>
      </c>
      <c r="F11" s="251" t="s">
        <v>1562</v>
      </c>
      <c r="G11" s="251" t="s">
        <v>711</v>
      </c>
      <c r="H11" s="251" t="s">
        <v>712</v>
      </c>
      <c r="I11" s="251" t="s">
        <v>713</v>
      </c>
      <c r="J11" s="252"/>
      <c r="K11" s="420" t="s">
        <v>1560</v>
      </c>
      <c r="L11" s="421" t="s">
        <v>1561</v>
      </c>
      <c r="M11" s="182"/>
      <c r="O11" s="462" t="str">
        <f>IF(OR(C11='1.1 The situation'!$C$86,C11="Name of the CZ"),"","Attention: The name of the Charging Zone below is different from used in the worksheet '1.1 The situation'.")</f>
        <v/>
      </c>
    </row>
    <row r="12" spans="1:18">
      <c r="B12" s="85"/>
      <c r="C12" s="256" t="s">
        <v>1067</v>
      </c>
      <c r="D12" s="469"/>
      <c r="E12" s="469"/>
      <c r="F12" s="248"/>
      <c r="G12" s="248"/>
      <c r="H12" s="248"/>
      <c r="I12" s="248"/>
      <c r="J12" s="252"/>
      <c r="K12" s="258"/>
      <c r="L12" s="258"/>
      <c r="M12" s="182"/>
    </row>
    <row r="13" spans="1:18" ht="15" customHeight="1">
      <c r="B13" s="85"/>
      <c r="C13" s="259" t="s">
        <v>715</v>
      </c>
      <c r="D13" s="470"/>
      <c r="E13" s="470"/>
      <c r="F13" s="261"/>
      <c r="G13" s="261"/>
      <c r="H13" s="261"/>
      <c r="I13" s="261"/>
      <c r="J13" s="252"/>
      <c r="K13" s="262"/>
      <c r="L13" s="262"/>
      <c r="M13" s="182"/>
    </row>
    <row r="14" spans="1:18" ht="15" customHeight="1">
      <c r="B14" s="85"/>
      <c r="C14" s="422" t="s">
        <v>1563</v>
      </c>
      <c r="D14" s="248"/>
      <c r="E14" s="248"/>
      <c r="F14" s="248"/>
      <c r="G14" s="248"/>
      <c r="H14" s="248"/>
      <c r="I14" s="248"/>
      <c r="J14" s="252"/>
      <c r="K14" s="258"/>
      <c r="L14" s="258"/>
      <c r="M14" s="182"/>
    </row>
    <row r="15" spans="1:18">
      <c r="B15" s="85"/>
      <c r="C15" s="256" t="s">
        <v>714</v>
      </c>
      <c r="D15" s="257"/>
      <c r="E15" s="257"/>
      <c r="F15" s="263"/>
      <c r="G15" s="263"/>
      <c r="H15" s="263"/>
      <c r="I15" s="263"/>
      <c r="J15" s="252"/>
      <c r="K15" s="257"/>
      <c r="L15" s="257"/>
      <c r="M15" s="182"/>
    </row>
    <row r="16" spans="1:18">
      <c r="B16" s="85"/>
      <c r="C16" s="256" t="s">
        <v>716</v>
      </c>
      <c r="D16" s="469"/>
      <c r="E16" s="469"/>
      <c r="F16" s="248"/>
      <c r="G16" s="248"/>
      <c r="H16" s="248"/>
      <c r="I16" s="248"/>
      <c r="J16" s="252"/>
      <c r="K16" s="258"/>
      <c r="L16" s="258"/>
      <c r="M16" s="182"/>
      <c r="O16" s="462" t="str">
        <f ca="1">IFERROR(IF('1.2 Traffic forecasts'!$C$88&lt;&gt;"Local Forecast",
IF(SUMPRODUCT((ROUND($G$16:$I$16/1000,0)&lt;&gt;ROUND('1.2 Traffic forecasts'!$H$93:$J$93,0))*($G$16:$I$16&lt;&gt;""))+(ROUND(SUM('1.2 Traffic forecasts'!$F$93:$G$93),0)&lt;&gt;ROUND($F$16/1000,0))*1&lt;&gt;0,"Attention: the TSUs provided below for this CZ do not correspond the figures provided in Section '1.2 Traffic forecasts'"&amp;IF($Q$4&lt;&gt;""," for the year(s) "&amp;MID($Q$4,3,LEN($Q$4)-2),""),""),
IF(SUMPRODUCT((ROUND($G$16:$I$16/1000,0)&lt;&gt;ROUND('1.2 Traffic forecasts'!$H$99:$J$99,0))*($G$16:$I$16&lt;&gt;""))+(ROUND(SUM('1.2 Traffic forecasts'!$F$99:$G$99),0)&lt;&gt;ROUND($F$16/1000,0))*1&lt;&gt;0,"Attention: the TSUs provided below for this CZ do not correspond the figures provided in Section '1.2 Traffic forecasts'"&amp;IF($R$4&lt;&gt;""," for the year(s) "&amp;MID($R$4,3,LEN($R$4)-2),""),"")),"")</f>
        <v/>
      </c>
    </row>
    <row r="17" spans="2:13">
      <c r="B17" s="85"/>
      <c r="C17" s="256" t="s">
        <v>714</v>
      </c>
      <c r="D17" s="257"/>
      <c r="E17" s="257"/>
      <c r="F17" s="263"/>
      <c r="G17" s="263"/>
      <c r="H17" s="263"/>
      <c r="I17" s="263"/>
      <c r="J17" s="265"/>
      <c r="K17" s="257"/>
      <c r="L17" s="257"/>
      <c r="M17" s="182"/>
    </row>
    <row r="18" spans="2:13">
      <c r="B18" s="85"/>
      <c r="C18" s="249" t="s">
        <v>717</v>
      </c>
      <c r="D18" s="266"/>
      <c r="E18" s="266"/>
      <c r="F18" s="250"/>
      <c r="G18" s="250"/>
      <c r="H18" s="250"/>
      <c r="I18" s="250"/>
      <c r="J18" s="252"/>
      <c r="K18" s="262"/>
      <c r="L18" s="262"/>
      <c r="M18" s="182"/>
    </row>
    <row r="19" spans="2:13" ht="17.25">
      <c r="B19" s="85"/>
      <c r="C19" s="256" t="s">
        <v>1068</v>
      </c>
      <c r="D19" s="266"/>
      <c r="E19" s="266"/>
      <c r="F19" s="250"/>
      <c r="G19" s="250"/>
      <c r="H19" s="250"/>
      <c r="I19" s="250"/>
      <c r="J19" s="265"/>
      <c r="K19" s="262"/>
      <c r="L19" s="262"/>
      <c r="M19" s="182"/>
    </row>
    <row r="20" spans="2:13">
      <c r="B20" s="85"/>
      <c r="C20" s="256" t="s">
        <v>714</v>
      </c>
      <c r="D20" s="255"/>
      <c r="E20" s="255"/>
      <c r="F20" s="263"/>
      <c r="G20" s="263"/>
      <c r="H20" s="263"/>
      <c r="I20" s="263"/>
      <c r="J20" s="265"/>
      <c r="K20" s="255"/>
      <c r="L20" s="310"/>
      <c r="M20" s="182"/>
    </row>
    <row r="21" spans="2:13">
      <c r="B21" s="85"/>
      <c r="C21" s="267"/>
      <c r="D21" s="116"/>
      <c r="E21" s="116"/>
      <c r="F21" s="152"/>
      <c r="G21" s="152"/>
      <c r="H21" s="152"/>
      <c r="I21" s="152"/>
    </row>
    <row r="22" spans="2:13">
      <c r="B22" s="85"/>
      <c r="C22" s="352" t="s">
        <v>1061</v>
      </c>
      <c r="D22" s="353"/>
      <c r="E22" s="268"/>
      <c r="F22" s="182"/>
    </row>
    <row r="23" spans="2:13" ht="17.25">
      <c r="B23" s="85"/>
      <c r="C23" s="354" t="s">
        <v>1069</v>
      </c>
      <c r="D23" s="355"/>
      <c r="E23" s="269"/>
      <c r="F23" s="182"/>
    </row>
    <row r="24" spans="2:13" ht="8.1" customHeight="1">
      <c r="B24" s="85"/>
      <c r="C24" s="152"/>
      <c r="D24" s="152"/>
      <c r="E24" s="152"/>
    </row>
    <row r="25" spans="2:13" ht="8.1" customHeight="1">
      <c r="B25" s="85"/>
    </row>
    <row r="26" spans="2:13">
      <c r="B26" s="85"/>
      <c r="C26" s="76" t="s">
        <v>1564</v>
      </c>
    </row>
    <row r="27" spans="2:13">
      <c r="B27" s="85"/>
    </row>
    <row r="28" spans="2:13" ht="15" customHeight="1">
      <c r="B28" s="85"/>
      <c r="C28" s="251" t="s">
        <v>1059</v>
      </c>
      <c r="D28" s="351" t="s">
        <v>1433</v>
      </c>
      <c r="E28" s="351" t="s">
        <v>1060</v>
      </c>
      <c r="F28" s="351" t="s">
        <v>1565</v>
      </c>
      <c r="G28" s="351" t="s">
        <v>1566</v>
      </c>
      <c r="H28" s="468" t="s">
        <v>1686</v>
      </c>
      <c r="I28" s="468" t="s">
        <v>1688</v>
      </c>
    </row>
    <row r="29" spans="2:13">
      <c r="B29" s="85"/>
      <c r="C29" s="423" t="s">
        <v>1070</v>
      </c>
      <c r="D29" s="420" t="s">
        <v>1432</v>
      </c>
      <c r="E29" s="424" t="s">
        <v>710</v>
      </c>
      <c r="F29" s="420" t="s">
        <v>1567</v>
      </c>
      <c r="G29" s="425" t="s">
        <v>1568</v>
      </c>
      <c r="H29" s="421" t="s">
        <v>1687</v>
      </c>
      <c r="I29" s="421" t="s">
        <v>1689</v>
      </c>
    </row>
    <row r="30" spans="2:13">
      <c r="B30" s="85"/>
      <c r="C30" s="422" t="s">
        <v>1569</v>
      </c>
      <c r="D30" s="2"/>
      <c r="E30" s="2"/>
      <c r="F30" s="2"/>
      <c r="G30" s="2"/>
      <c r="H30" s="2"/>
      <c r="I30" s="2"/>
    </row>
    <row r="31" spans="2:13" ht="15" customHeight="1">
      <c r="B31" s="85"/>
      <c r="C31" s="426" t="s">
        <v>1570</v>
      </c>
      <c r="D31" s="427"/>
      <c r="E31" s="427"/>
      <c r="F31" s="2"/>
      <c r="G31" s="2"/>
      <c r="H31" s="2"/>
      <c r="I31" s="2"/>
    </row>
    <row r="32" spans="2:13" ht="17.25">
      <c r="B32" s="85"/>
      <c r="C32" s="256" t="s">
        <v>1563</v>
      </c>
      <c r="D32" s="2"/>
      <c r="E32" s="2"/>
      <c r="F32" s="2"/>
      <c r="G32" s="2"/>
      <c r="H32" s="2"/>
      <c r="I32" s="2"/>
    </row>
    <row r="33" spans="2:9">
      <c r="B33" s="85"/>
      <c r="C33" s="422" t="s">
        <v>1571</v>
      </c>
      <c r="D33" s="2"/>
      <c r="E33" s="2"/>
      <c r="F33" s="2"/>
      <c r="G33" s="2"/>
      <c r="H33" s="2"/>
      <c r="I33" s="2"/>
    </row>
    <row r="34" spans="2:9">
      <c r="B34" s="85"/>
    </row>
    <row r="36" spans="2:9">
      <c r="C36" s="76" t="s">
        <v>1592</v>
      </c>
    </row>
    <row r="38" spans="2:9">
      <c r="C38" s="444" t="s">
        <v>1615</v>
      </c>
      <c r="F38" s="920" t="s">
        <v>1572</v>
      </c>
      <c r="G38" s="920"/>
      <c r="H38" s="921" t="s">
        <v>240</v>
      </c>
      <c r="I38" s="921"/>
    </row>
    <row r="40" spans="2:9" hidden="1">
      <c r="C40" s="428" t="s">
        <v>1573</v>
      </c>
      <c r="D40" s="429" t="s">
        <v>259</v>
      </c>
      <c r="E40" s="429" t="s">
        <v>1574</v>
      </c>
      <c r="F40" s="429" t="s">
        <v>1575</v>
      </c>
      <c r="G40" s="429" t="s">
        <v>1576</v>
      </c>
      <c r="H40" s="429" t="s">
        <v>1577</v>
      </c>
      <c r="I40" s="429" t="s">
        <v>1578</v>
      </c>
    </row>
    <row r="41" spans="2:9" hidden="1">
      <c r="C41" s="430" t="s">
        <v>1581</v>
      </c>
      <c r="D41" s="430"/>
      <c r="E41" s="156" t="s">
        <v>240</v>
      </c>
      <c r="F41" s="431" t="s">
        <v>240</v>
      </c>
      <c r="G41" s="432"/>
      <c r="H41" s="451">
        <f>IF(OR(E41="Click to select",F41="Click to select"),0,IF(OR(E41="ANSP",E41="MET"),IF(OR(F41="Staff",F41="Other operating",F41="Exceptional items"),G41/(INDEX(Table_Inflation_IDX_ECZ[Inflation Index 2014 Actual],MATCH($O$4,Table_Inflation_IDX_ECZ[ER_CZ],0))/100),G41),G41))</f>
        <v>0</v>
      </c>
      <c r="I41" s="451">
        <f>IFERROR(H41/$E$23,0)</f>
        <v>0</v>
      </c>
    </row>
    <row r="42" spans="2:9" hidden="1">
      <c r="C42" s="922" t="s">
        <v>1579</v>
      </c>
      <c r="D42" s="923"/>
      <c r="E42" s="923"/>
      <c r="F42" s="923"/>
      <c r="G42" s="923"/>
      <c r="H42" s="923"/>
      <c r="I42" s="924"/>
    </row>
    <row r="43" spans="2:9" ht="30" hidden="1" customHeight="1">
      <c r="C43" s="925" t="s">
        <v>1580</v>
      </c>
      <c r="D43" s="926"/>
      <c r="E43" s="926"/>
      <c r="F43" s="926"/>
      <c r="G43" s="926"/>
      <c r="H43" s="926"/>
      <c r="I43" s="927"/>
    </row>
    <row r="44" spans="2:9" hidden="1"/>
    <row r="45" spans="2:9" hidden="1">
      <c r="C45" s="428" t="s">
        <v>1582</v>
      </c>
      <c r="D45" s="429" t="s">
        <v>259</v>
      </c>
      <c r="E45" s="429" t="s">
        <v>1574</v>
      </c>
      <c r="F45" s="429" t="s">
        <v>1575</v>
      </c>
      <c r="G45" s="429" t="s">
        <v>1576</v>
      </c>
      <c r="H45" s="429" t="s">
        <v>1577</v>
      </c>
      <c r="I45" s="429" t="s">
        <v>1578</v>
      </c>
    </row>
    <row r="46" spans="2:9" hidden="1">
      <c r="C46" s="430" t="s">
        <v>1581</v>
      </c>
      <c r="D46" s="430"/>
      <c r="E46" s="156" t="s">
        <v>240</v>
      </c>
      <c r="F46" s="431" t="s">
        <v>240</v>
      </c>
      <c r="G46" s="432"/>
      <c r="H46" s="451">
        <f>IF(OR(E46="Click to select",F46="Click to select"),0,IF(OR(E46="ANSP",E46="MET"),IF(OR(F46="Staff",F46="Other operating",F46="Exceptional items"),G46/(INDEX(Table_Inflation_IDX_ECZ[Inflation Index 2014 Actual],MATCH($O$4,Table_Inflation_IDX_ECZ[ER_CZ],0))/100),G46),G46))</f>
        <v>0</v>
      </c>
      <c r="I46" s="451">
        <f>IFERROR(H46/$E$23,0)</f>
        <v>0</v>
      </c>
    </row>
    <row r="47" spans="2:9" hidden="1">
      <c r="C47" s="922" t="s">
        <v>1579</v>
      </c>
      <c r="D47" s="923"/>
      <c r="E47" s="923"/>
      <c r="F47" s="923"/>
      <c r="G47" s="923"/>
      <c r="H47" s="923"/>
      <c r="I47" s="924"/>
    </row>
    <row r="48" spans="2:9" ht="30" hidden="1" customHeight="1">
      <c r="C48" s="925" t="s">
        <v>1580</v>
      </c>
      <c r="D48" s="926"/>
      <c r="E48" s="926"/>
      <c r="F48" s="926"/>
      <c r="G48" s="926"/>
      <c r="H48" s="926"/>
      <c r="I48" s="927"/>
    </row>
    <row r="49" spans="3:9" hidden="1"/>
    <row r="50" spans="3:9" hidden="1">
      <c r="C50" s="428" t="s">
        <v>1583</v>
      </c>
      <c r="D50" s="429" t="s">
        <v>259</v>
      </c>
      <c r="E50" s="429" t="s">
        <v>1574</v>
      </c>
      <c r="F50" s="429" t="s">
        <v>1575</v>
      </c>
      <c r="G50" s="429" t="s">
        <v>1576</v>
      </c>
      <c r="H50" s="429" t="s">
        <v>1577</v>
      </c>
      <c r="I50" s="429" t="s">
        <v>1578</v>
      </c>
    </row>
    <row r="51" spans="3:9" hidden="1">
      <c r="C51" s="430" t="s">
        <v>1581</v>
      </c>
      <c r="D51" s="430"/>
      <c r="E51" s="156" t="s">
        <v>240</v>
      </c>
      <c r="F51" s="431" t="s">
        <v>240</v>
      </c>
      <c r="G51" s="432"/>
      <c r="H51" s="451">
        <f>IF(OR(E51="Click to select",F51="Click to select"),0,IF(OR(E51="ANSP",E51="MET"),IF(OR(F51="Staff",F51="Other operating",F51="Exceptional items"),G51/(INDEX(Table_Inflation_IDX_ECZ[Inflation Index 2014 Actual],MATCH($O$4,Table_Inflation_IDX_ECZ[ER_CZ],0))/100),G51),G51))</f>
        <v>0</v>
      </c>
      <c r="I51" s="451">
        <f>IFERROR(H51/$E$23,0)</f>
        <v>0</v>
      </c>
    </row>
    <row r="52" spans="3:9" hidden="1">
      <c r="C52" s="922" t="s">
        <v>1579</v>
      </c>
      <c r="D52" s="923"/>
      <c r="E52" s="923"/>
      <c r="F52" s="923"/>
      <c r="G52" s="923"/>
      <c r="H52" s="923"/>
      <c r="I52" s="924"/>
    </row>
    <row r="53" spans="3:9" ht="30" hidden="1" customHeight="1">
      <c r="C53" s="925" t="s">
        <v>1580</v>
      </c>
      <c r="D53" s="926"/>
      <c r="E53" s="926"/>
      <c r="F53" s="926"/>
      <c r="G53" s="926"/>
      <c r="H53" s="926"/>
      <c r="I53" s="927"/>
    </row>
    <row r="54" spans="3:9" hidden="1"/>
    <row r="55" spans="3:9" hidden="1">
      <c r="C55" s="428" t="s">
        <v>1584</v>
      </c>
      <c r="D55" s="429" t="s">
        <v>259</v>
      </c>
      <c r="E55" s="429" t="s">
        <v>1574</v>
      </c>
      <c r="F55" s="429" t="s">
        <v>1575</v>
      </c>
      <c r="G55" s="429" t="s">
        <v>1576</v>
      </c>
      <c r="H55" s="429" t="s">
        <v>1577</v>
      </c>
      <c r="I55" s="429" t="s">
        <v>1578</v>
      </c>
    </row>
    <row r="56" spans="3:9" hidden="1">
      <c r="C56" s="430" t="s">
        <v>1581</v>
      </c>
      <c r="D56" s="430"/>
      <c r="E56" s="156" t="s">
        <v>240</v>
      </c>
      <c r="F56" s="431" t="s">
        <v>240</v>
      </c>
      <c r="G56" s="432"/>
      <c r="H56" s="451">
        <f>IF(OR(E56="Click to select",F56="Click to select"),0,IF(OR(E56="ANSP",E56="MET"),IF(OR(F56="Staff",F56="Other operating",F56="Exceptional items"),G56/(INDEX(Table_Inflation_IDX_ECZ[Inflation Index 2014 Actual],MATCH($O$4,Table_Inflation_IDX_ECZ[ER_CZ],0))/100),G56),G56))</f>
        <v>0</v>
      </c>
      <c r="I56" s="451">
        <f>IFERROR(H56/$E$23,0)</f>
        <v>0</v>
      </c>
    </row>
    <row r="57" spans="3:9" hidden="1">
      <c r="C57" s="922" t="s">
        <v>1579</v>
      </c>
      <c r="D57" s="923"/>
      <c r="E57" s="923"/>
      <c r="F57" s="923"/>
      <c r="G57" s="923"/>
      <c r="H57" s="923"/>
      <c r="I57" s="924"/>
    </row>
    <row r="58" spans="3:9" ht="30" hidden="1" customHeight="1">
      <c r="C58" s="925" t="s">
        <v>1580</v>
      </c>
      <c r="D58" s="926"/>
      <c r="E58" s="926"/>
      <c r="F58" s="926"/>
      <c r="G58" s="926"/>
      <c r="H58" s="926"/>
      <c r="I58" s="927"/>
    </row>
    <row r="59" spans="3:9" hidden="1"/>
    <row r="60" spans="3:9" hidden="1">
      <c r="C60" s="428" t="s">
        <v>1585</v>
      </c>
      <c r="D60" s="429" t="s">
        <v>259</v>
      </c>
      <c r="E60" s="429" t="s">
        <v>1574</v>
      </c>
      <c r="F60" s="429" t="s">
        <v>1575</v>
      </c>
      <c r="G60" s="429" t="s">
        <v>1576</v>
      </c>
      <c r="H60" s="429" t="s">
        <v>1577</v>
      </c>
      <c r="I60" s="429" t="s">
        <v>1578</v>
      </c>
    </row>
    <row r="61" spans="3:9" hidden="1">
      <c r="C61" s="430" t="s">
        <v>1581</v>
      </c>
      <c r="D61" s="430"/>
      <c r="E61" s="156" t="s">
        <v>240</v>
      </c>
      <c r="F61" s="431" t="s">
        <v>240</v>
      </c>
      <c r="G61" s="432"/>
      <c r="H61" s="451">
        <f>IF(OR(E61="Click to select",F61="Click to select"),0,IF(OR(E61="ANSP",E61="MET"),IF(OR(F61="Staff",F61="Other operating",F61="Exceptional items"),G61/(INDEX(Table_Inflation_IDX_ECZ[Inflation Index 2014 Actual],MATCH($O$4,Table_Inflation_IDX_ECZ[ER_CZ],0))/100),G61),G61))</f>
        <v>0</v>
      </c>
      <c r="I61" s="451">
        <f>IFERROR(H61/$E$23,0)</f>
        <v>0</v>
      </c>
    </row>
    <row r="62" spans="3:9" hidden="1">
      <c r="C62" s="922" t="s">
        <v>1579</v>
      </c>
      <c r="D62" s="923"/>
      <c r="E62" s="923"/>
      <c r="F62" s="923"/>
      <c r="G62" s="923"/>
      <c r="H62" s="923"/>
      <c r="I62" s="924"/>
    </row>
    <row r="63" spans="3:9" ht="30" hidden="1" customHeight="1">
      <c r="C63" s="925" t="s">
        <v>1580</v>
      </c>
      <c r="D63" s="926"/>
      <c r="E63" s="926"/>
      <c r="F63" s="926"/>
      <c r="G63" s="926"/>
      <c r="H63" s="926"/>
      <c r="I63" s="927"/>
    </row>
    <row r="64" spans="3:9" hidden="1"/>
    <row r="65" spans="3:9" hidden="1">
      <c r="C65" s="428" t="s">
        <v>1586</v>
      </c>
      <c r="D65" s="429" t="s">
        <v>259</v>
      </c>
      <c r="E65" s="429" t="s">
        <v>1574</v>
      </c>
      <c r="F65" s="429" t="s">
        <v>1575</v>
      </c>
      <c r="G65" s="429" t="s">
        <v>1576</v>
      </c>
      <c r="H65" s="429" t="s">
        <v>1577</v>
      </c>
      <c r="I65" s="429" t="s">
        <v>1578</v>
      </c>
    </row>
    <row r="66" spans="3:9" hidden="1">
      <c r="C66" s="430" t="s">
        <v>1581</v>
      </c>
      <c r="D66" s="430"/>
      <c r="E66" s="156" t="s">
        <v>240</v>
      </c>
      <c r="F66" s="431" t="s">
        <v>240</v>
      </c>
      <c r="G66" s="432"/>
      <c r="H66" s="451">
        <f>IF(OR(E66="Click to select",F66="Click to select"),0,IF(OR(E66="ANSP",E66="MET"),IF(OR(F66="Staff",F66="Other operating",F66="Exceptional items"),G66/(INDEX(Table_Inflation_IDX_ECZ[Inflation Index 2014 Actual],MATCH($O$4,Table_Inflation_IDX_ECZ[ER_CZ],0))/100),G66),G66))</f>
        <v>0</v>
      </c>
      <c r="I66" s="451">
        <f>IFERROR(H66/$E$23,0)</f>
        <v>0</v>
      </c>
    </row>
    <row r="67" spans="3:9" hidden="1">
      <c r="C67" s="922" t="s">
        <v>1579</v>
      </c>
      <c r="D67" s="923"/>
      <c r="E67" s="923"/>
      <c r="F67" s="923"/>
      <c r="G67" s="923"/>
      <c r="H67" s="923"/>
      <c r="I67" s="924"/>
    </row>
    <row r="68" spans="3:9" ht="30" hidden="1" customHeight="1">
      <c r="C68" s="925" t="s">
        <v>1580</v>
      </c>
      <c r="D68" s="926"/>
      <c r="E68" s="926"/>
      <c r="F68" s="926"/>
      <c r="G68" s="926"/>
      <c r="H68" s="926"/>
      <c r="I68" s="927"/>
    </row>
    <row r="69" spans="3:9" hidden="1"/>
    <row r="70" spans="3:9" hidden="1">
      <c r="C70" s="428" t="s">
        <v>1587</v>
      </c>
      <c r="D70" s="429" t="s">
        <v>259</v>
      </c>
      <c r="E70" s="429" t="s">
        <v>1574</v>
      </c>
      <c r="F70" s="429" t="s">
        <v>1575</v>
      </c>
      <c r="G70" s="429" t="s">
        <v>1576</v>
      </c>
      <c r="H70" s="429" t="s">
        <v>1577</v>
      </c>
      <c r="I70" s="429" t="s">
        <v>1578</v>
      </c>
    </row>
    <row r="71" spans="3:9" hidden="1">
      <c r="C71" s="430" t="s">
        <v>1581</v>
      </c>
      <c r="D71" s="430"/>
      <c r="E71" s="156" t="s">
        <v>240</v>
      </c>
      <c r="F71" s="431" t="s">
        <v>240</v>
      </c>
      <c r="G71" s="432"/>
      <c r="H71" s="451">
        <f>IF(OR(E71="Click to select",F71="Click to select"),0,IF(OR(E71="ANSP",E71="MET"),IF(OR(F71="Staff",F71="Other operating",F71="Exceptional items"),G71/(INDEX(Table_Inflation_IDX_ECZ[Inflation Index 2014 Actual],MATCH($O$4,Table_Inflation_IDX_ECZ[ER_CZ],0))/100),G71),G71))</f>
        <v>0</v>
      </c>
      <c r="I71" s="451">
        <f>IFERROR(H71/$E$23,0)</f>
        <v>0</v>
      </c>
    </row>
    <row r="72" spans="3:9" hidden="1">
      <c r="C72" s="922" t="s">
        <v>1579</v>
      </c>
      <c r="D72" s="923"/>
      <c r="E72" s="923"/>
      <c r="F72" s="923"/>
      <c r="G72" s="923"/>
      <c r="H72" s="923"/>
      <c r="I72" s="924"/>
    </row>
    <row r="73" spans="3:9" ht="30" hidden="1" customHeight="1">
      <c r="C73" s="925" t="s">
        <v>1580</v>
      </c>
      <c r="D73" s="926"/>
      <c r="E73" s="926"/>
      <c r="F73" s="926"/>
      <c r="G73" s="926"/>
      <c r="H73" s="926"/>
      <c r="I73" s="927"/>
    </row>
    <row r="74" spans="3:9" hidden="1"/>
    <row r="75" spans="3:9" hidden="1">
      <c r="C75" s="428" t="s">
        <v>1588</v>
      </c>
      <c r="D75" s="429" t="s">
        <v>259</v>
      </c>
      <c r="E75" s="429" t="s">
        <v>1574</v>
      </c>
      <c r="F75" s="429" t="s">
        <v>1575</v>
      </c>
      <c r="G75" s="429" t="s">
        <v>1576</v>
      </c>
      <c r="H75" s="429" t="s">
        <v>1577</v>
      </c>
      <c r="I75" s="429" t="s">
        <v>1578</v>
      </c>
    </row>
    <row r="76" spans="3:9" hidden="1">
      <c r="C76" s="430" t="s">
        <v>1581</v>
      </c>
      <c r="D76" s="430"/>
      <c r="E76" s="156" t="s">
        <v>240</v>
      </c>
      <c r="F76" s="431" t="s">
        <v>240</v>
      </c>
      <c r="G76" s="432"/>
      <c r="H76" s="451">
        <f>IF(OR(E76="Click to select",F76="Click to select"),0,IF(OR(E76="ANSP",E76="MET"),IF(OR(F76="Staff",F76="Other operating",F76="Exceptional items"),G76/(INDEX(Table_Inflation_IDX_ECZ[Inflation Index 2014 Actual],MATCH($O$4,Table_Inflation_IDX_ECZ[ER_CZ],0))/100),G76),G76))</f>
        <v>0</v>
      </c>
      <c r="I76" s="451">
        <f>IFERROR(H76/$E$23,0)</f>
        <v>0</v>
      </c>
    </row>
    <row r="77" spans="3:9" hidden="1">
      <c r="C77" s="922" t="s">
        <v>1579</v>
      </c>
      <c r="D77" s="923"/>
      <c r="E77" s="923"/>
      <c r="F77" s="923"/>
      <c r="G77" s="923"/>
      <c r="H77" s="923"/>
      <c r="I77" s="924"/>
    </row>
    <row r="78" spans="3:9" ht="30" hidden="1" customHeight="1">
      <c r="C78" s="925" t="s">
        <v>1580</v>
      </c>
      <c r="D78" s="926"/>
      <c r="E78" s="926"/>
      <c r="F78" s="926"/>
      <c r="G78" s="926"/>
      <c r="H78" s="926"/>
      <c r="I78" s="927"/>
    </row>
    <row r="79" spans="3:9" hidden="1"/>
    <row r="80" spans="3:9" hidden="1">
      <c r="C80" s="428" t="s">
        <v>1589</v>
      </c>
      <c r="D80" s="429" t="s">
        <v>259</v>
      </c>
      <c r="E80" s="429" t="s">
        <v>1574</v>
      </c>
      <c r="F80" s="429" t="s">
        <v>1575</v>
      </c>
      <c r="G80" s="429" t="s">
        <v>1576</v>
      </c>
      <c r="H80" s="429" t="s">
        <v>1577</v>
      </c>
      <c r="I80" s="429" t="s">
        <v>1578</v>
      </c>
    </row>
    <row r="81" spans="3:15" hidden="1">
      <c r="C81" s="430" t="s">
        <v>1581</v>
      </c>
      <c r="D81" s="430"/>
      <c r="E81" s="156" t="s">
        <v>240</v>
      </c>
      <c r="F81" s="431" t="s">
        <v>240</v>
      </c>
      <c r="G81" s="432"/>
      <c r="H81" s="451">
        <f>IF(OR(E81="Click to select",F81="Click to select"),0,IF(OR(E81="ANSP",E81="MET"),IF(OR(F81="Staff",F81="Other operating",F81="Exceptional items"),G81/(INDEX(Table_Inflation_IDX_ECZ[Inflation Index 2014 Actual],MATCH($O$4,Table_Inflation_IDX_ECZ[ER_CZ],0))/100),G81),G81))</f>
        <v>0</v>
      </c>
      <c r="I81" s="451">
        <f>IFERROR(H81/$E$23,0)</f>
        <v>0</v>
      </c>
    </row>
    <row r="82" spans="3:15" hidden="1">
      <c r="C82" s="922" t="s">
        <v>1579</v>
      </c>
      <c r="D82" s="923"/>
      <c r="E82" s="923"/>
      <c r="F82" s="923"/>
      <c r="G82" s="923"/>
      <c r="H82" s="923"/>
      <c r="I82" s="924"/>
    </row>
    <row r="83" spans="3:15" ht="30" hidden="1" customHeight="1">
      <c r="C83" s="925" t="s">
        <v>1580</v>
      </c>
      <c r="D83" s="926"/>
      <c r="E83" s="926"/>
      <c r="F83" s="926"/>
      <c r="G83" s="926"/>
      <c r="H83" s="926"/>
      <c r="I83" s="927"/>
    </row>
    <row r="84" spans="3:15" hidden="1"/>
    <row r="85" spans="3:15" hidden="1">
      <c r="C85" s="428" t="s">
        <v>1590</v>
      </c>
      <c r="D85" s="429" t="s">
        <v>259</v>
      </c>
      <c r="E85" s="429" t="s">
        <v>1574</v>
      </c>
      <c r="F85" s="429" t="s">
        <v>1575</v>
      </c>
      <c r="G85" s="429" t="s">
        <v>1576</v>
      </c>
      <c r="H85" s="429" t="s">
        <v>1577</v>
      </c>
      <c r="I85" s="429" t="s">
        <v>1578</v>
      </c>
    </row>
    <row r="86" spans="3:15" hidden="1">
      <c r="C86" s="430" t="s">
        <v>1581</v>
      </c>
      <c r="D86" s="430"/>
      <c r="E86" s="156" t="s">
        <v>240</v>
      </c>
      <c r="F86" s="431" t="s">
        <v>240</v>
      </c>
      <c r="G86" s="432"/>
      <c r="H86" s="451">
        <f>IF(OR(E86="Click to select",F86="Click to select"),0,IF(OR(E86="ANSP",E86="MET"),IF(OR(F86="Staff",F86="Other operating",F86="Exceptional items"),G86/(INDEX(Table_Inflation_IDX_ECZ[Inflation Index 2014 Actual],MATCH($O$4,Table_Inflation_IDX_ECZ[ER_CZ],0))/100),G86),G86))</f>
        <v>0</v>
      </c>
      <c r="I86" s="451">
        <f>IFERROR(H86/$E$23,0)</f>
        <v>0</v>
      </c>
    </row>
    <row r="87" spans="3:15" hidden="1">
      <c r="C87" s="922" t="s">
        <v>1579</v>
      </c>
      <c r="D87" s="923"/>
      <c r="E87" s="923"/>
      <c r="F87" s="923"/>
      <c r="G87" s="923"/>
      <c r="H87" s="923"/>
      <c r="I87" s="924"/>
    </row>
    <row r="88" spans="3:15" ht="30" hidden="1" customHeight="1">
      <c r="C88" s="925" t="s">
        <v>1580</v>
      </c>
      <c r="D88" s="926"/>
      <c r="E88" s="926"/>
      <c r="F88" s="926"/>
      <c r="G88" s="926"/>
      <c r="H88" s="926"/>
      <c r="I88" s="927"/>
    </row>
    <row r="89" spans="3:15" hidden="1"/>
    <row r="90" spans="3:15" hidden="1">
      <c r="C90" s="933" t="s">
        <v>1591</v>
      </c>
      <c r="D90" s="934"/>
      <c r="E90" s="934"/>
      <c r="F90" s="935"/>
      <c r="G90" s="433" t="s">
        <v>1576</v>
      </c>
      <c r="H90" s="433" t="s">
        <v>1577</v>
      </c>
      <c r="I90" s="433" t="s">
        <v>1578</v>
      </c>
      <c r="O90" s="462" t="str">
        <f>IFERROR(IF(ROUND(G91/100,0)&lt;&gt;ROUND(H30/100,0),"The total adjustment in nominal NC does not match the figure in section b)",""),"")</f>
        <v/>
      </c>
    </row>
    <row r="91" spans="3:15" hidden="1">
      <c r="C91" s="936"/>
      <c r="D91" s="937"/>
      <c r="E91" s="937"/>
      <c r="F91" s="938"/>
      <c r="G91" s="452" t="str">
        <f>IF(G86+G81+G76+G71+G66+G61+G56+G51+G46+G41=0,"-",G86+G81+G76+G71+G66+G61+G56+G51+G46+G41)</f>
        <v>-</v>
      </c>
      <c r="H91" s="452">
        <f>IFERROR(H86+H81+H76+H71+H66+H61+H56+H51+H46+H41,"-")</f>
        <v>0</v>
      </c>
      <c r="I91" s="452">
        <f>IFERROR(I86+I81+I76+I71+I66+I61+I56+I51+I46+I41,"-")</f>
        <v>0</v>
      </c>
      <c r="O91" s="462" t="str">
        <f>IFERROR(IF(ROUND(H91/100,0)&lt;&gt;ROUND(H31/100,0),"The total adjustment in real NC does not match the figure in section b)",""),"")</f>
        <v/>
      </c>
    </row>
    <row r="92" spans="3:15" hidden="1"/>
    <row r="93" spans="3:15" hidden="1"/>
    <row r="94" spans="3:15">
      <c r="C94" s="444" t="s">
        <v>1616</v>
      </c>
    </row>
    <row r="95" spans="3:15" ht="6.95" customHeight="1"/>
    <row r="96" spans="3:15">
      <c r="C96" s="939" t="s">
        <v>1595</v>
      </c>
      <c r="D96" s="941" t="s">
        <v>1596</v>
      </c>
      <c r="E96" s="942"/>
      <c r="F96" s="945" t="s">
        <v>1600</v>
      </c>
      <c r="G96" s="946"/>
      <c r="H96" s="947"/>
      <c r="I96" s="429" t="s">
        <v>1597</v>
      </c>
      <c r="O96" s="463" t="s">
        <v>1614</v>
      </c>
    </row>
    <row r="97" spans="3:15">
      <c r="C97" s="940"/>
      <c r="D97" s="958" t="str">
        <f>O97</f>
        <v>-</v>
      </c>
      <c r="E97" s="959"/>
      <c r="F97" s="960" t="str">
        <f>IFERROR(IF(D97=$P$4,"CRCO correction factor May 2019 (on 12 months)","Other"),"-")</f>
        <v>-</v>
      </c>
      <c r="G97" s="961"/>
      <c r="H97" s="962"/>
      <c r="I97" s="2"/>
      <c r="O97" s="464" t="str">
        <f>IFERROR(INDEX(Table_CRCO_Factor[May 2019 (based on 12 months)],MATCH($O$4,Table_CRCO_Factor[ECZ],0)),"-")</f>
        <v>-</v>
      </c>
    </row>
    <row r="98" spans="3:15" ht="30" hidden="1" customHeight="1">
      <c r="C98" s="925" t="s">
        <v>1580</v>
      </c>
      <c r="D98" s="926"/>
      <c r="E98" s="926"/>
      <c r="F98" s="926"/>
      <c r="G98" s="926"/>
      <c r="H98" s="926"/>
      <c r="I98" s="927"/>
    </row>
    <row r="100" spans="3:15">
      <c r="C100" s="428" t="s">
        <v>1598</v>
      </c>
      <c r="D100" s="317" t="s">
        <v>240</v>
      </c>
    </row>
    <row r="101" spans="3:15" hidden="1">
      <c r="C101" s="931" t="s">
        <v>1581</v>
      </c>
      <c r="D101" s="932"/>
      <c r="H101" s="429" t="s">
        <v>1597</v>
      </c>
      <c r="I101" s="2"/>
    </row>
    <row r="102" spans="3:15" hidden="1">
      <c r="C102" s="922" t="s">
        <v>1579</v>
      </c>
      <c r="D102" s="923"/>
      <c r="E102" s="923"/>
      <c r="F102" s="923"/>
      <c r="G102" s="923"/>
      <c r="H102" s="923"/>
      <c r="I102" s="924"/>
    </row>
    <row r="103" spans="3:15" hidden="1">
      <c r="C103" s="925" t="s">
        <v>1580</v>
      </c>
      <c r="D103" s="926"/>
      <c r="E103" s="926"/>
      <c r="F103" s="926"/>
      <c r="G103" s="926"/>
      <c r="H103" s="926"/>
      <c r="I103" s="927"/>
    </row>
    <row r="105" spans="3:15">
      <c r="C105" s="951" t="s">
        <v>1599</v>
      </c>
      <c r="D105" s="952"/>
      <c r="E105" s="952"/>
      <c r="F105" s="952"/>
      <c r="G105" s="952"/>
      <c r="H105" s="953"/>
      <c r="I105" s="442">
        <f>I101+I97</f>
        <v>0</v>
      </c>
      <c r="O105" s="462" t="str">
        <f>IFERROR(IF(ROUND(I105/100,0)&lt;&gt;ROUND(H33/100,0),"The service units total adjustment does not match the figure in section b)",""),"")</f>
        <v/>
      </c>
    </row>
    <row r="106" spans="3:15" hidden="1"/>
    <row r="108" spans="3:15">
      <c r="C108" s="444" t="s">
        <v>1617</v>
      </c>
      <c r="F108" s="920" t="s">
        <v>1572</v>
      </c>
      <c r="G108" s="920"/>
      <c r="H108" s="921" t="s">
        <v>240</v>
      </c>
      <c r="I108" s="921"/>
    </row>
    <row r="110" spans="3:15" hidden="1">
      <c r="C110" s="428" t="s">
        <v>1573</v>
      </c>
      <c r="D110" s="429" t="s">
        <v>259</v>
      </c>
      <c r="E110" s="429" t="s">
        <v>1574</v>
      </c>
      <c r="F110" s="429" t="s">
        <v>1575</v>
      </c>
      <c r="G110" s="429" t="s">
        <v>1576</v>
      </c>
      <c r="H110" s="429" t="s">
        <v>1577</v>
      </c>
      <c r="I110" s="429" t="s">
        <v>1578</v>
      </c>
    </row>
    <row r="111" spans="3:15" hidden="1">
      <c r="C111" s="430" t="s">
        <v>1581</v>
      </c>
      <c r="D111" s="430"/>
      <c r="E111" s="156" t="s">
        <v>240</v>
      </c>
      <c r="F111" s="431" t="s">
        <v>240</v>
      </c>
      <c r="G111" s="432"/>
      <c r="H111" s="434" t="str">
        <f>IF(OR(E111="Click to select",F111="Click to select"),"-",IF(OR(E111="ANSP",E111="MET"),IF(OR(F111="Staff",F111="Other operating",F111="Exceptional items"),G111/(INDEX(Table_Inflation_IDX_ECZ[Inflation Index 2019 Actual],MATCH($O$4,Table_Inflation_IDX_ECZ[ER_CZ],0))/100),G111),G111))</f>
        <v>-</v>
      </c>
      <c r="I111" s="434" t="str">
        <f>IFERROR(H111/$E$23,"-")</f>
        <v>-</v>
      </c>
    </row>
    <row r="112" spans="3:15" hidden="1">
      <c r="C112" s="922" t="s">
        <v>1579</v>
      </c>
      <c r="D112" s="923"/>
      <c r="E112" s="923"/>
      <c r="F112" s="923"/>
      <c r="G112" s="923"/>
      <c r="H112" s="923"/>
      <c r="I112" s="924"/>
    </row>
    <row r="113" spans="3:9" ht="30" hidden="1" customHeight="1">
      <c r="C113" s="925" t="s">
        <v>1580</v>
      </c>
      <c r="D113" s="926"/>
      <c r="E113" s="926"/>
      <c r="F113" s="926"/>
      <c r="G113" s="926"/>
      <c r="H113" s="926"/>
      <c r="I113" s="927"/>
    </row>
    <row r="114" spans="3:9" hidden="1"/>
    <row r="115" spans="3:9" hidden="1">
      <c r="C115" s="428" t="s">
        <v>1582</v>
      </c>
      <c r="D115" s="429" t="s">
        <v>259</v>
      </c>
      <c r="E115" s="429" t="s">
        <v>1574</v>
      </c>
      <c r="F115" s="429" t="s">
        <v>1575</v>
      </c>
      <c r="G115" s="429" t="s">
        <v>1576</v>
      </c>
      <c r="H115" s="429" t="s">
        <v>1577</v>
      </c>
      <c r="I115" s="429" t="s">
        <v>1578</v>
      </c>
    </row>
    <row r="116" spans="3:9" hidden="1">
      <c r="C116" s="430" t="s">
        <v>1581</v>
      </c>
      <c r="D116" s="430"/>
      <c r="E116" s="156" t="s">
        <v>240</v>
      </c>
      <c r="F116" s="431" t="s">
        <v>240</v>
      </c>
      <c r="G116" s="432"/>
      <c r="H116" s="434" t="str">
        <f>IF(OR(E116="Click to select",F116="Click to select"),"-",IF(OR(E116="ANSP",E116="MET"),IF(OR(F116="Staff",F116="Other operating",F116="Exceptional items"),G116/(INDEX(Table_Inflation_IDX_ECZ[Inflation Index 2019 Actual],MATCH($O$4,Table_Inflation_IDX_ECZ[ER_CZ],0))/100),G116),G116))</f>
        <v>-</v>
      </c>
      <c r="I116" s="434" t="str">
        <f>IFERROR(H116/$E$23,"-")</f>
        <v>-</v>
      </c>
    </row>
    <row r="117" spans="3:9" hidden="1">
      <c r="C117" s="922" t="s">
        <v>1579</v>
      </c>
      <c r="D117" s="923"/>
      <c r="E117" s="923"/>
      <c r="F117" s="923"/>
      <c r="G117" s="923"/>
      <c r="H117" s="923"/>
      <c r="I117" s="924"/>
    </row>
    <row r="118" spans="3:9" ht="30" hidden="1" customHeight="1">
      <c r="C118" s="925" t="s">
        <v>1580</v>
      </c>
      <c r="D118" s="926"/>
      <c r="E118" s="926"/>
      <c r="F118" s="926"/>
      <c r="G118" s="926"/>
      <c r="H118" s="926"/>
      <c r="I118" s="927"/>
    </row>
    <row r="119" spans="3:9" hidden="1"/>
    <row r="120" spans="3:9" hidden="1">
      <c r="C120" s="428" t="s">
        <v>1583</v>
      </c>
      <c r="D120" s="429" t="s">
        <v>259</v>
      </c>
      <c r="E120" s="429" t="s">
        <v>1574</v>
      </c>
      <c r="F120" s="429" t="s">
        <v>1575</v>
      </c>
      <c r="G120" s="429" t="s">
        <v>1576</v>
      </c>
      <c r="H120" s="429" t="s">
        <v>1577</v>
      </c>
      <c r="I120" s="429" t="s">
        <v>1578</v>
      </c>
    </row>
    <row r="121" spans="3:9" hidden="1">
      <c r="C121" s="430" t="s">
        <v>1581</v>
      </c>
      <c r="D121" s="430"/>
      <c r="E121" s="156" t="s">
        <v>240</v>
      </c>
      <c r="F121" s="431" t="s">
        <v>240</v>
      </c>
      <c r="G121" s="432"/>
      <c r="H121" s="434" t="str">
        <f>IF(OR(E121="Click to select",F121="Click to select"),"-",IF(OR(E121="ANSP",E121="MET"),IF(OR(F121="Staff",F121="Other operating",F121="Exceptional items"),G121/(INDEX(Table_Inflation_IDX_ECZ[Inflation Index 2019 Actual],MATCH($O$4,Table_Inflation_IDX_ECZ[ER_CZ],0))/100),G121),G121))</f>
        <v>-</v>
      </c>
      <c r="I121" s="434" t="str">
        <f>IFERROR(H121/$E$23,"-")</f>
        <v>-</v>
      </c>
    </row>
    <row r="122" spans="3:9" hidden="1">
      <c r="C122" s="922" t="s">
        <v>1579</v>
      </c>
      <c r="D122" s="923"/>
      <c r="E122" s="923"/>
      <c r="F122" s="923"/>
      <c r="G122" s="923"/>
      <c r="H122" s="923"/>
      <c r="I122" s="924"/>
    </row>
    <row r="123" spans="3:9" ht="30" hidden="1" customHeight="1">
      <c r="C123" s="925" t="s">
        <v>1580</v>
      </c>
      <c r="D123" s="926"/>
      <c r="E123" s="926"/>
      <c r="F123" s="926"/>
      <c r="G123" s="926"/>
      <c r="H123" s="926"/>
      <c r="I123" s="927"/>
    </row>
    <row r="124" spans="3:9" hidden="1"/>
    <row r="125" spans="3:9" hidden="1">
      <c r="C125" s="428" t="s">
        <v>1584</v>
      </c>
      <c r="D125" s="429" t="s">
        <v>259</v>
      </c>
      <c r="E125" s="429" t="s">
        <v>1574</v>
      </c>
      <c r="F125" s="429" t="s">
        <v>1575</v>
      </c>
      <c r="G125" s="429" t="s">
        <v>1576</v>
      </c>
      <c r="H125" s="429" t="s">
        <v>1577</v>
      </c>
      <c r="I125" s="429" t="s">
        <v>1578</v>
      </c>
    </row>
    <row r="126" spans="3:9" hidden="1">
      <c r="C126" s="430" t="s">
        <v>1581</v>
      </c>
      <c r="D126" s="430"/>
      <c r="E126" s="156" t="s">
        <v>240</v>
      </c>
      <c r="F126" s="431" t="s">
        <v>240</v>
      </c>
      <c r="G126" s="432"/>
      <c r="H126" s="434" t="str">
        <f>IF(OR(E126="Click to select",F126="Click to select"),"-",IF(OR(E126="ANSP",E126="MET"),IF(OR(F126="Staff",F126="Other operating",F126="Exceptional items"),G126/(INDEX(Table_Inflation_IDX_ECZ[Inflation Index 2019 Actual],MATCH($O$4,Table_Inflation_IDX_ECZ[ER_CZ],0))/100),G126),G126))</f>
        <v>-</v>
      </c>
      <c r="I126" s="434" t="str">
        <f>IFERROR(H126/$E$23,"-")</f>
        <v>-</v>
      </c>
    </row>
    <row r="127" spans="3:9" hidden="1">
      <c r="C127" s="922" t="s">
        <v>1579</v>
      </c>
      <c r="D127" s="923"/>
      <c r="E127" s="923"/>
      <c r="F127" s="923"/>
      <c r="G127" s="923"/>
      <c r="H127" s="923"/>
      <c r="I127" s="924"/>
    </row>
    <row r="128" spans="3:9" ht="30" hidden="1" customHeight="1">
      <c r="C128" s="925" t="s">
        <v>1580</v>
      </c>
      <c r="D128" s="926"/>
      <c r="E128" s="926"/>
      <c r="F128" s="926"/>
      <c r="G128" s="926"/>
      <c r="H128" s="926"/>
      <c r="I128" s="927"/>
    </row>
    <row r="129" spans="3:9" hidden="1"/>
    <row r="130" spans="3:9" hidden="1">
      <c r="C130" s="428" t="s">
        <v>1585</v>
      </c>
      <c r="D130" s="429" t="s">
        <v>259</v>
      </c>
      <c r="E130" s="429" t="s">
        <v>1574</v>
      </c>
      <c r="F130" s="429" t="s">
        <v>1575</v>
      </c>
      <c r="G130" s="429" t="s">
        <v>1576</v>
      </c>
      <c r="H130" s="429" t="s">
        <v>1577</v>
      </c>
      <c r="I130" s="429" t="s">
        <v>1578</v>
      </c>
    </row>
    <row r="131" spans="3:9" hidden="1">
      <c r="C131" s="430" t="s">
        <v>1581</v>
      </c>
      <c r="D131" s="430"/>
      <c r="E131" s="156" t="s">
        <v>240</v>
      </c>
      <c r="F131" s="431" t="s">
        <v>240</v>
      </c>
      <c r="G131" s="432"/>
      <c r="H131" s="434" t="str">
        <f>IF(OR(E131="Click to select",F131="Click to select"),"-",IF(OR(E131="ANSP",E131="MET"),IF(OR(F131="Staff",F131="Other operating",F131="Exceptional items"),G131/(INDEX(Table_Inflation_IDX_ECZ[Inflation Index 2019 Actual],MATCH($O$4,Table_Inflation_IDX_ECZ[ER_CZ],0))/100),G131),G131))</f>
        <v>-</v>
      </c>
      <c r="I131" s="434" t="str">
        <f>IFERROR(H131/$E$23,"-")</f>
        <v>-</v>
      </c>
    </row>
    <row r="132" spans="3:9" hidden="1">
      <c r="C132" s="922" t="s">
        <v>1579</v>
      </c>
      <c r="D132" s="923"/>
      <c r="E132" s="923"/>
      <c r="F132" s="923"/>
      <c r="G132" s="923"/>
      <c r="H132" s="923"/>
      <c r="I132" s="924"/>
    </row>
    <row r="133" spans="3:9" ht="30" hidden="1" customHeight="1">
      <c r="C133" s="925" t="s">
        <v>1580</v>
      </c>
      <c r="D133" s="926"/>
      <c r="E133" s="926"/>
      <c r="F133" s="926"/>
      <c r="G133" s="926"/>
      <c r="H133" s="926"/>
      <c r="I133" s="927"/>
    </row>
    <row r="134" spans="3:9" hidden="1"/>
    <row r="135" spans="3:9" hidden="1">
      <c r="C135" s="428" t="s">
        <v>1586</v>
      </c>
      <c r="D135" s="429" t="s">
        <v>259</v>
      </c>
      <c r="E135" s="429" t="s">
        <v>1574</v>
      </c>
      <c r="F135" s="429" t="s">
        <v>1575</v>
      </c>
      <c r="G135" s="429" t="s">
        <v>1576</v>
      </c>
      <c r="H135" s="429" t="s">
        <v>1577</v>
      </c>
      <c r="I135" s="429" t="s">
        <v>1578</v>
      </c>
    </row>
    <row r="136" spans="3:9" hidden="1">
      <c r="C136" s="430" t="s">
        <v>1581</v>
      </c>
      <c r="D136" s="430"/>
      <c r="E136" s="156" t="s">
        <v>240</v>
      </c>
      <c r="F136" s="431" t="s">
        <v>240</v>
      </c>
      <c r="G136" s="432"/>
      <c r="H136" s="434" t="str">
        <f>IF(OR(E136="Click to select",F136="Click to select"),"-",IF(OR(E136="ANSP",E136="MET"),IF(OR(F136="Staff",F136="Other operating",F136="Exceptional items"),G136/(INDEX(Table_Inflation_IDX_ECZ[Inflation Index 2019 Actual],MATCH($O$4,Table_Inflation_IDX_ECZ[ER_CZ],0))/100),G136),G136))</f>
        <v>-</v>
      </c>
      <c r="I136" s="434" t="str">
        <f>IFERROR(H136/$E$23,"-")</f>
        <v>-</v>
      </c>
    </row>
    <row r="137" spans="3:9" hidden="1">
      <c r="C137" s="922" t="s">
        <v>1579</v>
      </c>
      <c r="D137" s="923"/>
      <c r="E137" s="923"/>
      <c r="F137" s="923"/>
      <c r="G137" s="923"/>
      <c r="H137" s="923"/>
      <c r="I137" s="924"/>
    </row>
    <row r="138" spans="3:9" ht="30" hidden="1" customHeight="1">
      <c r="C138" s="925" t="s">
        <v>1580</v>
      </c>
      <c r="D138" s="926"/>
      <c r="E138" s="926"/>
      <c r="F138" s="926"/>
      <c r="G138" s="926"/>
      <c r="H138" s="926"/>
      <c r="I138" s="927"/>
    </row>
    <row r="139" spans="3:9" hidden="1"/>
    <row r="140" spans="3:9" hidden="1">
      <c r="C140" s="428" t="s">
        <v>1587</v>
      </c>
      <c r="D140" s="429" t="s">
        <v>259</v>
      </c>
      <c r="E140" s="429" t="s">
        <v>1574</v>
      </c>
      <c r="F140" s="429" t="s">
        <v>1575</v>
      </c>
      <c r="G140" s="429" t="s">
        <v>1576</v>
      </c>
      <c r="H140" s="429" t="s">
        <v>1577</v>
      </c>
      <c r="I140" s="429" t="s">
        <v>1578</v>
      </c>
    </row>
    <row r="141" spans="3:9" hidden="1">
      <c r="C141" s="430" t="s">
        <v>1581</v>
      </c>
      <c r="D141" s="430"/>
      <c r="E141" s="156" t="s">
        <v>240</v>
      </c>
      <c r="F141" s="431" t="s">
        <v>240</v>
      </c>
      <c r="G141" s="432"/>
      <c r="H141" s="434" t="str">
        <f>IF(OR(E141="Click to select",F141="Click to select"),"-",IF(OR(E141="ANSP",E141="MET"),IF(OR(F141="Staff",F141="Other operating",F141="Exceptional items"),G141/(INDEX(Table_Inflation_IDX_ECZ[Inflation Index 2019 Actual],MATCH($O$4,Table_Inflation_IDX_ECZ[ER_CZ],0))/100),G141),G141))</f>
        <v>-</v>
      </c>
      <c r="I141" s="434" t="str">
        <f>IFERROR(H141/$E$23,"-")</f>
        <v>-</v>
      </c>
    </row>
    <row r="142" spans="3:9" hidden="1">
      <c r="C142" s="922" t="s">
        <v>1579</v>
      </c>
      <c r="D142" s="923"/>
      <c r="E142" s="923"/>
      <c r="F142" s="923"/>
      <c r="G142" s="923"/>
      <c r="H142" s="923"/>
      <c r="I142" s="924"/>
    </row>
    <row r="143" spans="3:9" ht="30" hidden="1" customHeight="1">
      <c r="C143" s="925" t="s">
        <v>1580</v>
      </c>
      <c r="D143" s="926"/>
      <c r="E143" s="926"/>
      <c r="F143" s="926"/>
      <c r="G143" s="926"/>
      <c r="H143" s="926"/>
      <c r="I143" s="927"/>
    </row>
    <row r="144" spans="3:9" hidden="1"/>
    <row r="145" spans="3:15" hidden="1">
      <c r="C145" s="428" t="s">
        <v>1588</v>
      </c>
      <c r="D145" s="429" t="s">
        <v>259</v>
      </c>
      <c r="E145" s="429" t="s">
        <v>1574</v>
      </c>
      <c r="F145" s="429" t="s">
        <v>1575</v>
      </c>
      <c r="G145" s="429" t="s">
        <v>1576</v>
      </c>
      <c r="H145" s="429" t="s">
        <v>1577</v>
      </c>
      <c r="I145" s="429" t="s">
        <v>1578</v>
      </c>
    </row>
    <row r="146" spans="3:15" hidden="1">
      <c r="C146" s="430" t="s">
        <v>1581</v>
      </c>
      <c r="D146" s="430"/>
      <c r="E146" s="156" t="s">
        <v>240</v>
      </c>
      <c r="F146" s="431" t="s">
        <v>240</v>
      </c>
      <c r="G146" s="432"/>
      <c r="H146" s="434" t="str">
        <f>IF(OR(E146="Click to select",F146="Click to select"),"-",IF(OR(E146="ANSP",E146="MET"),IF(OR(F146="Staff",F146="Other operating",F146="Exceptional items"),G146/(INDEX(Table_Inflation_IDX_ECZ[Inflation Index 2019 Actual],MATCH($O$4,Table_Inflation_IDX_ECZ[ER_CZ],0))/100),G146),G146))</f>
        <v>-</v>
      </c>
      <c r="I146" s="434" t="str">
        <f>IFERROR(H146/$E$23,"-")</f>
        <v>-</v>
      </c>
    </row>
    <row r="147" spans="3:15" hidden="1">
      <c r="C147" s="922" t="s">
        <v>1579</v>
      </c>
      <c r="D147" s="923"/>
      <c r="E147" s="923"/>
      <c r="F147" s="923"/>
      <c r="G147" s="923"/>
      <c r="H147" s="923"/>
      <c r="I147" s="924"/>
    </row>
    <row r="148" spans="3:15" ht="30" hidden="1" customHeight="1">
      <c r="C148" s="925" t="s">
        <v>1580</v>
      </c>
      <c r="D148" s="926"/>
      <c r="E148" s="926"/>
      <c r="F148" s="926"/>
      <c r="G148" s="926"/>
      <c r="H148" s="926"/>
      <c r="I148" s="927"/>
    </row>
    <row r="149" spans="3:15" hidden="1"/>
    <row r="150" spans="3:15" hidden="1">
      <c r="C150" s="428" t="s">
        <v>1589</v>
      </c>
      <c r="D150" s="429" t="s">
        <v>259</v>
      </c>
      <c r="E150" s="429" t="s">
        <v>1574</v>
      </c>
      <c r="F150" s="429" t="s">
        <v>1575</v>
      </c>
      <c r="G150" s="429" t="s">
        <v>1576</v>
      </c>
      <c r="H150" s="429" t="s">
        <v>1577</v>
      </c>
      <c r="I150" s="429" t="s">
        <v>1578</v>
      </c>
    </row>
    <row r="151" spans="3:15" hidden="1">
      <c r="C151" s="430" t="s">
        <v>1581</v>
      </c>
      <c r="D151" s="430"/>
      <c r="E151" s="156" t="s">
        <v>240</v>
      </c>
      <c r="F151" s="431" t="s">
        <v>240</v>
      </c>
      <c r="G151" s="432"/>
      <c r="H151" s="434" t="str">
        <f>IF(OR(E151="Click to select",F151="Click to select"),"-",IF(OR(E151="ANSP",E151="MET"),IF(OR(F151="Staff",F151="Other operating",F151="Exceptional items"),G151/(INDEX(Table_Inflation_IDX_ECZ[Inflation Index 2019 Actual],MATCH($O$4,Table_Inflation_IDX_ECZ[ER_CZ],0))/100),G151),G151))</f>
        <v>-</v>
      </c>
      <c r="I151" s="434" t="str">
        <f>IFERROR(H151/$E$23,"-")</f>
        <v>-</v>
      </c>
    </row>
    <row r="152" spans="3:15" hidden="1">
      <c r="C152" s="922" t="s">
        <v>1579</v>
      </c>
      <c r="D152" s="923"/>
      <c r="E152" s="923"/>
      <c r="F152" s="923"/>
      <c r="G152" s="923"/>
      <c r="H152" s="923"/>
      <c r="I152" s="924"/>
    </row>
    <row r="153" spans="3:15" ht="30" hidden="1" customHeight="1">
      <c r="C153" s="925" t="s">
        <v>1580</v>
      </c>
      <c r="D153" s="926"/>
      <c r="E153" s="926"/>
      <c r="F153" s="926"/>
      <c r="G153" s="926"/>
      <c r="H153" s="926"/>
      <c r="I153" s="927"/>
    </row>
    <row r="154" spans="3:15" hidden="1"/>
    <row r="155" spans="3:15" hidden="1">
      <c r="C155" s="428" t="s">
        <v>1590</v>
      </c>
      <c r="D155" s="429" t="s">
        <v>259</v>
      </c>
      <c r="E155" s="429" t="s">
        <v>1574</v>
      </c>
      <c r="F155" s="429" t="s">
        <v>1575</v>
      </c>
      <c r="G155" s="429" t="s">
        <v>1576</v>
      </c>
      <c r="H155" s="429" t="s">
        <v>1577</v>
      </c>
      <c r="I155" s="429" t="s">
        <v>1578</v>
      </c>
    </row>
    <row r="156" spans="3:15" hidden="1">
      <c r="C156" s="430" t="s">
        <v>1581</v>
      </c>
      <c r="D156" s="430"/>
      <c r="E156" s="156" t="s">
        <v>240</v>
      </c>
      <c r="F156" s="431" t="s">
        <v>240</v>
      </c>
      <c r="G156" s="432"/>
      <c r="H156" s="434" t="str">
        <f>IF(OR(E156="Click to select",F156="Click to select"),"-",IF(OR(E156="ANSP",E156="MET"),IF(OR(F156="Staff",F156="Other operating",F156="Exceptional items"),G156/(INDEX(Table_Inflation_IDX_ECZ[Inflation Index 2019 Actual],MATCH($O$4,Table_Inflation_IDX_ECZ[ER_CZ],0))/100),G156),G156))</f>
        <v>-</v>
      </c>
      <c r="I156" s="434" t="str">
        <f>IFERROR(H156/$E$23,"-")</f>
        <v>-</v>
      </c>
    </row>
    <row r="157" spans="3:15" hidden="1">
      <c r="C157" s="922" t="s">
        <v>1579</v>
      </c>
      <c r="D157" s="923"/>
      <c r="E157" s="923"/>
      <c r="F157" s="923"/>
      <c r="G157" s="923"/>
      <c r="H157" s="923"/>
      <c r="I157" s="924"/>
    </row>
    <row r="158" spans="3:15" ht="30" hidden="1" customHeight="1">
      <c r="C158" s="925" t="s">
        <v>1580</v>
      </c>
      <c r="D158" s="926"/>
      <c r="E158" s="926"/>
      <c r="F158" s="926"/>
      <c r="G158" s="926"/>
      <c r="H158" s="926"/>
      <c r="I158" s="927"/>
    </row>
    <row r="159" spans="3:15" hidden="1"/>
    <row r="160" spans="3:15" hidden="1">
      <c r="C160" s="933" t="s">
        <v>1618</v>
      </c>
      <c r="D160" s="934"/>
      <c r="E160" s="934"/>
      <c r="F160" s="935"/>
      <c r="G160" s="433" t="s">
        <v>1576</v>
      </c>
      <c r="H160" s="433" t="s">
        <v>1577</v>
      </c>
      <c r="I160" s="433" t="s">
        <v>1578</v>
      </c>
      <c r="O160" s="462" t="str">
        <f>IFERROR(IF(ROUND(G161/100,0)&lt;&gt;ROUND(I30/100,0),"The total adjustment in nominal NC does not match the figure in section b)",""),"")</f>
        <v/>
      </c>
    </row>
    <row r="161" spans="3:15" hidden="1">
      <c r="C161" s="936"/>
      <c r="D161" s="937"/>
      <c r="E161" s="937"/>
      <c r="F161" s="938"/>
      <c r="G161" s="435" t="str">
        <f>IF(G156+G151+G146+G141+G136+G131+G126+G121+G116+G111=0,"-",G156+G151+G146+G141+G136+G131+G126+G121+G116+G111)</f>
        <v>-</v>
      </c>
      <c r="H161" s="435" t="str">
        <f>IFERROR(H156+H151+H146+H141+H136+H131+H126+H121+H116+H111,"-")</f>
        <v>-</v>
      </c>
      <c r="I161" s="435" t="str">
        <f>IFERROR(I156+I151+I146+I141+I136+I131+I126+I121+I116+I111,"-")</f>
        <v>-</v>
      </c>
      <c r="O161" s="462" t="str">
        <f>IFERROR(IF(ROUND(H161/100,0)&lt;&gt;ROUND(I31/100,0),"The total adjustment in real NC does not match the figure in section b)",""),"")</f>
        <v/>
      </c>
    </row>
    <row r="162" spans="3:15" hidden="1"/>
    <row r="164" spans="3:15">
      <c r="C164" s="444" t="s">
        <v>1620</v>
      </c>
    </row>
    <row r="165" spans="3:15" ht="6.95" customHeight="1"/>
    <row r="166" spans="3:15">
      <c r="C166" s="939" t="s">
        <v>1595</v>
      </c>
      <c r="D166" s="941" t="s">
        <v>1596</v>
      </c>
      <c r="E166" s="942"/>
      <c r="F166" s="945" t="s">
        <v>1600</v>
      </c>
      <c r="G166" s="946"/>
      <c r="H166" s="947"/>
      <c r="I166" s="429" t="s">
        <v>1597</v>
      </c>
      <c r="O166" s="463" t="s">
        <v>1614</v>
      </c>
    </row>
    <row r="167" spans="3:15">
      <c r="C167" s="940"/>
      <c r="D167" s="958" t="str">
        <f>O167</f>
        <v>-</v>
      </c>
      <c r="E167" s="959"/>
      <c r="F167" s="960" t="str">
        <f>IFERROR(IF(D167=$P$4,"CRCO correction factor May 2019 (on 12 months)","Other"),"-")</f>
        <v>-</v>
      </c>
      <c r="G167" s="961"/>
      <c r="H167" s="962"/>
      <c r="I167" s="2"/>
      <c r="O167" s="464" t="str">
        <f>IFERROR(INDEX(Table_CRCO_Factor[May 2019 (based on 12 months)],MATCH($O$4,Table_CRCO_Factor[ECZ],0)),"-")</f>
        <v>-</v>
      </c>
    </row>
    <row r="168" spans="3:15" ht="30" hidden="1" customHeight="1">
      <c r="C168" s="925" t="s">
        <v>1580</v>
      </c>
      <c r="D168" s="926"/>
      <c r="E168" s="926"/>
      <c r="F168" s="926"/>
      <c r="G168" s="926"/>
      <c r="H168" s="926"/>
      <c r="I168" s="927"/>
    </row>
    <row r="170" spans="3:15">
      <c r="C170" s="428" t="s">
        <v>1619</v>
      </c>
      <c r="D170" s="317" t="s">
        <v>240</v>
      </c>
    </row>
    <row r="171" spans="3:15" hidden="1">
      <c r="C171" s="931" t="s">
        <v>1581</v>
      </c>
      <c r="D171" s="932"/>
      <c r="H171" s="429" t="s">
        <v>1597</v>
      </c>
      <c r="I171" s="2"/>
    </row>
    <row r="172" spans="3:15" hidden="1">
      <c r="C172" s="922" t="s">
        <v>1579</v>
      </c>
      <c r="D172" s="923"/>
      <c r="E172" s="923"/>
      <c r="F172" s="923"/>
      <c r="G172" s="923"/>
      <c r="H172" s="923"/>
      <c r="I172" s="924"/>
    </row>
    <row r="173" spans="3:15" hidden="1">
      <c r="C173" s="925" t="s">
        <v>1580</v>
      </c>
      <c r="D173" s="926"/>
      <c r="E173" s="926"/>
      <c r="F173" s="926"/>
      <c r="G173" s="926"/>
      <c r="H173" s="926"/>
      <c r="I173" s="927"/>
    </row>
    <row r="175" spans="3:15">
      <c r="C175" s="951" t="s">
        <v>1621</v>
      </c>
      <c r="D175" s="952"/>
      <c r="E175" s="952"/>
      <c r="F175" s="952"/>
      <c r="G175" s="952"/>
      <c r="H175" s="953"/>
      <c r="I175" s="442">
        <f>I171+I167</f>
        <v>0</v>
      </c>
      <c r="O175" s="462" t="str">
        <f>IFERROR(IF(ROUND(I175/100,0)&lt;&gt;ROUND(I33/100,0),"The service units total adjustment does not match the figure in section b)",""),"")</f>
        <v/>
      </c>
    </row>
    <row r="176" spans="3:15" ht="9" customHeight="1"/>
    <row r="177" spans="3:9" ht="9" customHeight="1"/>
    <row r="178" spans="3:9">
      <c r="C178" s="76" t="s">
        <v>1726</v>
      </c>
    </row>
    <row r="179" spans="3:9" ht="7.5" customHeight="1"/>
    <row r="180" spans="3:9" ht="60" customHeight="1">
      <c r="C180" s="979"/>
      <c r="D180" s="980"/>
      <c r="E180" s="980"/>
      <c r="F180" s="980"/>
      <c r="G180" s="980"/>
      <c r="H180" s="980"/>
      <c r="I180" s="981"/>
    </row>
    <row r="181" spans="3:9">
      <c r="C181" s="300" t="s">
        <v>1424</v>
      </c>
      <c r="D181" s="152"/>
      <c r="E181" s="152"/>
      <c r="F181" s="152"/>
      <c r="G181" s="152"/>
      <c r="H181" s="152"/>
      <c r="I181" s="152"/>
    </row>
    <row r="183" spans="3:9">
      <c r="C183" s="76" t="s">
        <v>1727</v>
      </c>
    </row>
    <row r="184" spans="3:9">
      <c r="C184" s="76"/>
    </row>
    <row r="185" spans="3:9">
      <c r="C185" s="951" t="s">
        <v>1622</v>
      </c>
      <c r="D185" s="953"/>
      <c r="E185" s="317" t="s">
        <v>240</v>
      </c>
      <c r="F185" s="941" t="str">
        <f>IF(E185="yes","Detailed in part 3.4.6 of the performance plan","")</f>
        <v/>
      </c>
      <c r="G185" s="982"/>
      <c r="H185" s="982"/>
      <c r="I185" s="942"/>
    </row>
    <row r="186" spans="3:9">
      <c r="C186" s="951" t="s">
        <v>1623</v>
      </c>
      <c r="D186" s="953"/>
      <c r="E186" s="317" t="s">
        <v>240</v>
      </c>
      <c r="F186" s="941" t="str">
        <f>IF(E186="yes","Detailed in part 3.4.5 of the performance plan","")</f>
        <v/>
      </c>
      <c r="G186" s="982"/>
      <c r="H186" s="982"/>
      <c r="I186" s="942"/>
    </row>
    <row r="188" spans="3:9">
      <c r="C188" s="76"/>
    </row>
    <row r="189" spans="3:9">
      <c r="C189" s="76" t="s">
        <v>1728</v>
      </c>
    </row>
    <row r="190" spans="3:9" ht="7.5" customHeight="1"/>
    <row r="191" spans="3:9" ht="60" customHeight="1">
      <c r="C191" s="979"/>
      <c r="D191" s="980"/>
      <c r="E191" s="980"/>
      <c r="F191" s="980"/>
      <c r="G191" s="980"/>
      <c r="H191" s="980"/>
      <c r="I191" s="981"/>
    </row>
    <row r="192" spans="3:9">
      <c r="C192" s="300" t="s">
        <v>1424</v>
      </c>
      <c r="D192" s="152"/>
      <c r="E192" s="152"/>
      <c r="F192" s="152"/>
      <c r="G192" s="152"/>
      <c r="H192" s="152"/>
      <c r="I192" s="152"/>
    </row>
    <row r="194" spans="3:12" ht="30" customHeight="1">
      <c r="C194" s="969" t="s">
        <v>1729</v>
      </c>
      <c r="D194" s="969"/>
      <c r="E194" s="969"/>
      <c r="F194" s="969"/>
      <c r="G194" s="969"/>
      <c r="H194" s="969"/>
      <c r="I194" s="969"/>
      <c r="J194" s="461"/>
      <c r="K194" s="461"/>
      <c r="L194" s="461"/>
    </row>
    <row r="195" spans="3:12" ht="7.5" customHeight="1"/>
    <row r="196" spans="3:12" ht="60" customHeight="1">
      <c r="C196" s="979"/>
      <c r="D196" s="980"/>
      <c r="E196" s="980"/>
      <c r="F196" s="980"/>
      <c r="G196" s="980"/>
      <c r="H196" s="980"/>
      <c r="I196" s="981"/>
    </row>
    <row r="197" spans="3:12">
      <c r="C197" s="300" t="s">
        <v>1626</v>
      </c>
      <c r="D197" s="152"/>
      <c r="E197" s="152"/>
      <c r="F197" s="152"/>
      <c r="G197" s="152"/>
      <c r="H197" s="152"/>
      <c r="I197" s="152"/>
    </row>
  </sheetData>
  <mergeCells count="74">
    <mergeCell ref="C58:I58"/>
    <mergeCell ref="F38:G38"/>
    <mergeCell ref="H38:I38"/>
    <mergeCell ref="C42:I42"/>
    <mergeCell ref="C43:I43"/>
    <mergeCell ref="C47:I47"/>
    <mergeCell ref="C48:I48"/>
    <mergeCell ref="C52:I52"/>
    <mergeCell ref="C53:I53"/>
    <mergeCell ref="C57:I57"/>
    <mergeCell ref="C88:I88"/>
    <mergeCell ref="C62:I62"/>
    <mergeCell ref="C63:I63"/>
    <mergeCell ref="C67:I67"/>
    <mergeCell ref="C68:I68"/>
    <mergeCell ref="C72:I72"/>
    <mergeCell ref="C73:I73"/>
    <mergeCell ref="C77:I77"/>
    <mergeCell ref="C78:I78"/>
    <mergeCell ref="C82:I82"/>
    <mergeCell ref="C83:I83"/>
    <mergeCell ref="C87:I87"/>
    <mergeCell ref="C90:F91"/>
    <mergeCell ref="C96:C97"/>
    <mergeCell ref="D96:E96"/>
    <mergeCell ref="F96:H96"/>
    <mergeCell ref="D97:E97"/>
    <mergeCell ref="F97:H97"/>
    <mergeCell ref="C123:I123"/>
    <mergeCell ref="C98:I98"/>
    <mergeCell ref="C101:D101"/>
    <mergeCell ref="C102:I102"/>
    <mergeCell ref="C103:I103"/>
    <mergeCell ref="C105:H105"/>
    <mergeCell ref="F108:G108"/>
    <mergeCell ref="H108:I108"/>
    <mergeCell ref="C112:I112"/>
    <mergeCell ref="C113:I113"/>
    <mergeCell ref="C117:I117"/>
    <mergeCell ref="C118:I118"/>
    <mergeCell ref="C122:I122"/>
    <mergeCell ref="C180:I180"/>
    <mergeCell ref="C153:I153"/>
    <mergeCell ref="C127:I127"/>
    <mergeCell ref="C128:I128"/>
    <mergeCell ref="C132:I132"/>
    <mergeCell ref="C133:I133"/>
    <mergeCell ref="C137:I137"/>
    <mergeCell ref="C138:I138"/>
    <mergeCell ref="C142:I142"/>
    <mergeCell ref="C143:I143"/>
    <mergeCell ref="C147:I147"/>
    <mergeCell ref="C148:I148"/>
    <mergeCell ref="C152:I152"/>
    <mergeCell ref="C168:I168"/>
    <mergeCell ref="C171:D171"/>
    <mergeCell ref="C172:I172"/>
    <mergeCell ref="C173:I173"/>
    <mergeCell ref="C175:H175"/>
    <mergeCell ref="C157:I157"/>
    <mergeCell ref="C158:I158"/>
    <mergeCell ref="C160:F161"/>
    <mergeCell ref="C166:C167"/>
    <mergeCell ref="D166:E166"/>
    <mergeCell ref="F166:H166"/>
    <mergeCell ref="D167:E167"/>
    <mergeCell ref="F167:H167"/>
    <mergeCell ref="C194:I194"/>
    <mergeCell ref="C196:I196"/>
    <mergeCell ref="C191:I191"/>
    <mergeCell ref="C185:D185"/>
    <mergeCell ref="F185:I185"/>
    <mergeCell ref="C186:D186"/>
    <mergeCell ref="F186:I186"/>
  </mergeCells>
  <conditionalFormatting sqref="H38">
    <cfRule type="expression" dxfId="419" priority="48">
      <formula>$A$2="PRINT"</formula>
    </cfRule>
  </conditionalFormatting>
  <conditionalFormatting sqref="E41">
    <cfRule type="expression" dxfId="418" priority="47">
      <formula>$A$2="PRINT"</formula>
    </cfRule>
  </conditionalFormatting>
  <conditionalFormatting sqref="F41">
    <cfRule type="expression" dxfId="417" priority="46">
      <formula>$A$2="PRINT"</formula>
    </cfRule>
  </conditionalFormatting>
  <conditionalFormatting sqref="E46">
    <cfRule type="expression" dxfId="416" priority="45">
      <formula>$A$2="PRINT"</formula>
    </cfRule>
  </conditionalFormatting>
  <conditionalFormatting sqref="E71">
    <cfRule type="expression" dxfId="415" priority="40">
      <formula>$A$2="PRINT"</formula>
    </cfRule>
  </conditionalFormatting>
  <conditionalFormatting sqref="E51">
    <cfRule type="expression" dxfId="414" priority="44">
      <formula>$A$2="PRINT"</formula>
    </cfRule>
  </conditionalFormatting>
  <conditionalFormatting sqref="E56">
    <cfRule type="expression" dxfId="413" priority="43">
      <formula>$A$2="PRINT"</formula>
    </cfRule>
  </conditionalFormatting>
  <conditionalFormatting sqref="E76">
    <cfRule type="expression" dxfId="412" priority="39">
      <formula>$A$2="PRINT"</formula>
    </cfRule>
  </conditionalFormatting>
  <conditionalFormatting sqref="E61">
    <cfRule type="expression" dxfId="411" priority="42">
      <formula>$A$2="PRINT"</formula>
    </cfRule>
  </conditionalFormatting>
  <conditionalFormatting sqref="E66">
    <cfRule type="expression" dxfId="410" priority="41">
      <formula>$A$2="PRINT"</formula>
    </cfRule>
  </conditionalFormatting>
  <conditionalFormatting sqref="E81">
    <cfRule type="expression" dxfId="409" priority="38">
      <formula>$A$2="PRINT"</formula>
    </cfRule>
  </conditionalFormatting>
  <conditionalFormatting sqref="E86">
    <cfRule type="expression" dxfId="408" priority="37">
      <formula>$A$2="PRINT"</formula>
    </cfRule>
  </conditionalFormatting>
  <conditionalFormatting sqref="F46">
    <cfRule type="expression" dxfId="407" priority="36">
      <formula>$A$2="PRINT"</formula>
    </cfRule>
  </conditionalFormatting>
  <conditionalFormatting sqref="F51">
    <cfRule type="expression" dxfId="406" priority="35">
      <formula>$A$2="PRINT"</formula>
    </cfRule>
  </conditionalFormatting>
  <conditionalFormatting sqref="F56">
    <cfRule type="expression" dxfId="405" priority="34">
      <formula>$A$2="PRINT"</formula>
    </cfRule>
  </conditionalFormatting>
  <conditionalFormatting sqref="F61">
    <cfRule type="expression" dxfId="404" priority="33">
      <formula>$A$2="PRINT"</formula>
    </cfRule>
  </conditionalFormatting>
  <conditionalFormatting sqref="F66">
    <cfRule type="expression" dxfId="403" priority="32">
      <formula>$A$2="PRINT"</formula>
    </cfRule>
  </conditionalFormatting>
  <conditionalFormatting sqref="F71">
    <cfRule type="expression" dxfId="402" priority="31">
      <formula>$A$2="PRINT"</formula>
    </cfRule>
  </conditionalFormatting>
  <conditionalFormatting sqref="F76">
    <cfRule type="expression" dxfId="401" priority="30">
      <formula>$A$2="PRINT"</formula>
    </cfRule>
  </conditionalFormatting>
  <conditionalFormatting sqref="F81">
    <cfRule type="expression" dxfId="400" priority="29">
      <formula>$A$2="PRINT"</formula>
    </cfRule>
  </conditionalFormatting>
  <conditionalFormatting sqref="F86">
    <cfRule type="expression" dxfId="399" priority="28">
      <formula>$A$2="PRINT"</formula>
    </cfRule>
  </conditionalFormatting>
  <conditionalFormatting sqref="D100">
    <cfRule type="expression" dxfId="398" priority="27">
      <formula>$A$2="PRINT"</formula>
    </cfRule>
  </conditionalFormatting>
  <conditionalFormatting sqref="H108">
    <cfRule type="expression" dxfId="397" priority="26">
      <formula>$A$2="PRINT"</formula>
    </cfRule>
  </conditionalFormatting>
  <conditionalFormatting sqref="E111">
    <cfRule type="expression" dxfId="396" priority="25">
      <formula>$A$2="PRINT"</formula>
    </cfRule>
  </conditionalFormatting>
  <conditionalFormatting sqref="F111">
    <cfRule type="expression" dxfId="395" priority="24">
      <formula>$A$2="PRINT"</formula>
    </cfRule>
  </conditionalFormatting>
  <conditionalFormatting sqref="E116">
    <cfRule type="expression" dxfId="394" priority="23">
      <formula>$A$2="PRINT"</formula>
    </cfRule>
  </conditionalFormatting>
  <conditionalFormatting sqref="E141">
    <cfRule type="expression" dxfId="393" priority="18">
      <formula>$A$2="PRINT"</formula>
    </cfRule>
  </conditionalFormatting>
  <conditionalFormatting sqref="E121">
    <cfRule type="expression" dxfId="392" priority="22">
      <formula>$A$2="PRINT"</formula>
    </cfRule>
  </conditionalFormatting>
  <conditionalFormatting sqref="E126">
    <cfRule type="expression" dxfId="391" priority="21">
      <formula>$A$2="PRINT"</formula>
    </cfRule>
  </conditionalFormatting>
  <conditionalFormatting sqref="E146">
    <cfRule type="expression" dxfId="390" priority="17">
      <formula>$A$2="PRINT"</formula>
    </cfRule>
  </conditionalFormatting>
  <conditionalFormatting sqref="E131">
    <cfRule type="expression" dxfId="389" priority="20">
      <formula>$A$2="PRINT"</formula>
    </cfRule>
  </conditionalFormatting>
  <conditionalFormatting sqref="E136">
    <cfRule type="expression" dxfId="388" priority="19">
      <formula>$A$2="PRINT"</formula>
    </cfRule>
  </conditionalFormatting>
  <conditionalFormatting sqref="E151">
    <cfRule type="expression" dxfId="387" priority="16">
      <formula>$A$2="PRINT"</formula>
    </cfRule>
  </conditionalFormatting>
  <conditionalFormatting sqref="E156">
    <cfRule type="expression" dxfId="386" priority="15">
      <formula>$A$2="PRINT"</formula>
    </cfRule>
  </conditionalFormatting>
  <conditionalFormatting sqref="F116">
    <cfRule type="expression" dxfId="385" priority="14">
      <formula>$A$2="PRINT"</formula>
    </cfRule>
  </conditionalFormatting>
  <conditionalFormatting sqref="F121">
    <cfRule type="expression" dxfId="384" priority="13">
      <formula>$A$2="PRINT"</formula>
    </cfRule>
  </conditionalFormatting>
  <conditionalFormatting sqref="F126">
    <cfRule type="expression" dxfId="383" priority="12">
      <formula>$A$2="PRINT"</formula>
    </cfRule>
  </conditionalFormatting>
  <conditionalFormatting sqref="F131">
    <cfRule type="expression" dxfId="382" priority="11">
      <formula>$A$2="PRINT"</formula>
    </cfRule>
  </conditionalFormatting>
  <conditionalFormatting sqref="F136">
    <cfRule type="expression" dxfId="381" priority="10">
      <formula>$A$2="PRINT"</formula>
    </cfRule>
  </conditionalFormatting>
  <conditionalFormatting sqref="F141">
    <cfRule type="expression" dxfId="380" priority="9">
      <formula>$A$2="PRINT"</formula>
    </cfRule>
  </conditionalFormatting>
  <conditionalFormatting sqref="F146">
    <cfRule type="expression" dxfId="379" priority="8">
      <formula>$A$2="PRINT"</formula>
    </cfRule>
  </conditionalFormatting>
  <conditionalFormatting sqref="F151">
    <cfRule type="expression" dxfId="378" priority="7">
      <formula>$A$2="PRINT"</formula>
    </cfRule>
  </conditionalFormatting>
  <conditionalFormatting sqref="F156">
    <cfRule type="expression" dxfId="377" priority="6">
      <formula>$A$2="PRINT"</formula>
    </cfRule>
  </conditionalFormatting>
  <conditionalFormatting sqref="D170">
    <cfRule type="expression" dxfId="376" priority="5">
      <formula>$A$2="PRINT"</formula>
    </cfRule>
  </conditionalFormatting>
  <conditionalFormatting sqref="E185">
    <cfRule type="expression" dxfId="375" priority="2">
      <formula>$A$2="PRINT"</formula>
    </cfRule>
  </conditionalFormatting>
  <conditionalFormatting sqref="E186">
    <cfRule type="expression" dxfId="374" priority="1">
      <formula>$A$2="PRINT"</formula>
    </cfRule>
  </conditionalFormatting>
  <dataValidations count="4">
    <dataValidation type="list" allowBlank="1" showInputMessage="1" showErrorMessage="1" sqref="D100 D170 E185:E187" xr:uid="{00000000-0002-0000-2400-000000000000}">
      <formula1>" Click to select,Yes,No"</formula1>
    </dataValidation>
    <dataValidation type="list" allowBlank="1" showInputMessage="1" showErrorMessage="1" sqref="F41 F46 F51 F56 F61 F66 F71 F76 F81 F86 F111 F116 F121 F126 F131 F136 F141 F146 F151 F156" xr:uid="{00000000-0002-0000-2400-000001000000}">
      <formula1>" Click to select,Staff,Other operating,Depreciation,Cost of capital,Exceptional items"</formula1>
    </dataValidation>
    <dataValidation type="list" allowBlank="1" showInputMessage="1" showErrorMessage="1" sqref="E41 E46 E51 E56 E61 E66 E71 E76 E81 E86 E111 E116 E121 E126 E131 E136 E141 E146 E151 E156" xr:uid="{00000000-0002-0000-2400-000002000000}">
      <formula1>" Click to select,ANSP,MET,NSA/EUROCONTROL"</formula1>
    </dataValidation>
    <dataValidation type="list" allowBlank="1" showInputMessage="1" showErrorMessage="1" sqref="H38:I38 H108:I108" xr:uid="{00000000-0002-0000-2400-000003000000}">
      <formula1>" Click to select,0,1,2,3,4,5,6,7,8,9,10"</formula1>
    </dataValidation>
  </dataValidations>
  <pageMargins left="0.7" right="0.7" top="0.75" bottom="0.75" header="0.3" footer="0.3"/>
  <pageSetup paperSize="9" scale="68" fitToHeight="0" orientation="landscape" r:id="rId1"/>
  <headerFooter>
    <oddFooter>&amp;C&amp;P</oddFooter>
  </headerFooter>
  <drawing r:id="rId2"/>
  <picture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
    <tabColor theme="2" tint="-0.249977111117893"/>
    <pageSetUpPr fitToPage="1"/>
  </sheetPr>
  <dimension ref="A2:P115"/>
  <sheetViews>
    <sheetView showGridLines="0" zoomScale="85" zoomScaleNormal="85" workbookViewId="0">
      <selection activeCell="B2" sqref="B2"/>
    </sheetView>
  </sheetViews>
  <sheetFormatPr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forecasts'!$F$116+'1.2 Traffic forecasts'!$G$116,0)),", 2020/2021","")&amp;IF(AND($F$16&lt;&gt;"",ROUND($F$16/1000,0)&lt;&gt;ROUND('1.2 Traffic forecasts'!$H$116,0)),", 2022","")&amp;IF(AND($G$16&lt;&gt;"",ROUND($G$16/1000,0)&lt;&gt;ROUND('1.2 Traffic forecasts'!$I$116,0)),", 2023","")&amp;IF(AND($H$16&lt;&gt;"",ROUND($H$16/1000,0)&lt;&gt;ROUND('1.2 Traffic forecasts'!$J$116,0)),", 2024","")</f>
        <v>#VALUE!</v>
      </c>
      <c r="P4" s="448" t="e">
        <f>IF(AND($E$16&lt;&gt;"",ROUND($E$16/1000,0)&lt;&gt;ROUND('1.2 Traffic forecasts'!$F$122+'1.2 Traffic forecasts'!$G$122,0)),", 2020/2021","")&amp;IF(AND($F$16&lt;&gt;"",ROUND($F$16/1000,0)&lt;&gt;ROUND('1.2 Traffic forecasts'!$H$122,0)),", 2022","")&amp;IF(AND($G$16&lt;&gt;"",ROUND($G$16/1000,0)&lt;&gt;ROUND('1.2 Traffic forecasts'!$I$122,0)),", 2023","")&amp;IF(AND($H$16&lt;&gt;"",ROUND($H$16/1000,0)&lt;&gt;ROUND('1.2 Traffic forecasts'!$J$122,0)),", 2024","")</f>
        <v>#VALUE!</v>
      </c>
    </row>
    <row r="5" spans="1:16">
      <c r="C5" s="227"/>
      <c r="D5" s="227"/>
      <c r="E5" s="227"/>
      <c r="F5" s="247"/>
      <c r="G5" s="247"/>
      <c r="H5" s="247"/>
      <c r="I5" s="247"/>
      <c r="J5" s="247"/>
    </row>
    <row r="6" spans="1:16" ht="15.75">
      <c r="C6" s="84" t="str">
        <f>"Terminal Charging Zone #1 - " &amp; IF('1.1 The situation'!$C$90="","",'1.1 The situation'!$C$90)</f>
        <v xml:space="preserve">Terminal Charging Zone #1 -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forecasts'!$C$111&lt;&gt;"Local Forecast",
IF(SUMPRODUCT((ROUND($F$16:$H$16/1000,0)&lt;&gt;ROUND('1.2 Traffic forecasts'!$H$116:$J$116,0))*($F$16:$H$16&lt;&gt;""))+(ROUND(SUM('1.2 Traffic forecasts'!$F$116:$G$116),0)&lt;&gt;ROUND($E$16/1000,0))*1&lt;&gt;0,"Attention: the TSUs provided below for this CZ do not correspond the figures provided in Section '1.2 Traffic forecasts'"&amp;IF($O$4&lt;&gt;""," for the year(s) "&amp;MID($O$4,3,LEN($O$4)-2),""),""),
IF(SUMPRODUCT((ROUND($F$16:$H$16/1000,0)&lt;&gt;ROUND('1.2 Traffic forecasts'!$H$122:$J$122,0))*($F$16:$H$16&lt;&gt;""))+(ROUND(SUM('1.2 Traffic forecasts'!$F$122:$G$122),0)&lt;&gt;ROUND($E$16/1000,0))*1&lt;&gt;0,"Attention: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C43:J43"/>
    <mergeCell ref="G38:H38"/>
    <mergeCell ref="I38:J38"/>
    <mergeCell ref="I40:J40"/>
    <mergeCell ref="I41:J41"/>
    <mergeCell ref="I45:J45"/>
    <mergeCell ref="I46:J46"/>
    <mergeCell ref="C47:J47"/>
    <mergeCell ref="C48:J48"/>
    <mergeCell ref="I50:J50"/>
    <mergeCell ref="I51:J51"/>
    <mergeCell ref="C52:J52"/>
    <mergeCell ref="C53:J53"/>
    <mergeCell ref="I55:J55"/>
    <mergeCell ref="I56:J56"/>
    <mergeCell ref="C57:J57"/>
    <mergeCell ref="C58:J58"/>
    <mergeCell ref="I60:J60"/>
    <mergeCell ref="I61:J61"/>
    <mergeCell ref="C62:J62"/>
    <mergeCell ref="C63:J63"/>
    <mergeCell ref="I65:J65"/>
    <mergeCell ref="I66:J66"/>
    <mergeCell ref="C67:J67"/>
    <mergeCell ref="C68:J68"/>
    <mergeCell ref="I70:J70"/>
    <mergeCell ref="I71:J71"/>
    <mergeCell ref="C72:J72"/>
    <mergeCell ref="C73:J73"/>
    <mergeCell ref="I75:J75"/>
    <mergeCell ref="I76:J76"/>
    <mergeCell ref="C77:J77"/>
    <mergeCell ref="C78:J78"/>
    <mergeCell ref="I80:J80"/>
    <mergeCell ref="I81:J81"/>
    <mergeCell ref="C82:J82"/>
    <mergeCell ref="C83:J83"/>
    <mergeCell ref="I85:J85"/>
    <mergeCell ref="I86:J86"/>
    <mergeCell ref="C87:J87"/>
    <mergeCell ref="C88:J88"/>
    <mergeCell ref="I90:J90"/>
    <mergeCell ref="I91:J91"/>
    <mergeCell ref="C90:F91"/>
    <mergeCell ref="I97:J97"/>
    <mergeCell ref="C97:D97"/>
    <mergeCell ref="C112:J112"/>
    <mergeCell ref="C114:J114"/>
    <mergeCell ref="C109:J109"/>
    <mergeCell ref="C98:J98"/>
    <mergeCell ref="C99:J99"/>
    <mergeCell ref="C104:K104"/>
  </mergeCells>
  <conditionalFormatting sqref="F41">
    <cfRule type="expression" dxfId="373" priority="36">
      <formula>$A$2="PRINT"</formula>
    </cfRule>
  </conditionalFormatting>
  <conditionalFormatting sqref="I38">
    <cfRule type="expression" dxfId="372" priority="38">
      <formula>$A$2="PRINT"</formula>
    </cfRule>
  </conditionalFormatting>
  <conditionalFormatting sqref="E41">
    <cfRule type="expression" dxfId="371" priority="37">
      <formula>$A$2="PRINT"</formula>
    </cfRule>
  </conditionalFormatting>
  <conditionalFormatting sqref="F46">
    <cfRule type="expression" dxfId="370" priority="34">
      <formula>$A$2="PRINT"</formula>
    </cfRule>
  </conditionalFormatting>
  <conditionalFormatting sqref="E46">
    <cfRule type="expression" dxfId="369" priority="35">
      <formula>$A$2="PRINT"</formula>
    </cfRule>
  </conditionalFormatting>
  <conditionalFormatting sqref="F51">
    <cfRule type="expression" dxfId="368" priority="16">
      <formula>$A$2="PRINT"</formula>
    </cfRule>
  </conditionalFormatting>
  <conditionalFormatting sqref="E51">
    <cfRule type="expression" dxfId="367" priority="17">
      <formula>$A$2="PRINT"</formula>
    </cfRule>
  </conditionalFormatting>
  <conditionalFormatting sqref="F56">
    <cfRule type="expression" dxfId="366" priority="14">
      <formula>$A$2="PRINT"</formula>
    </cfRule>
  </conditionalFormatting>
  <conditionalFormatting sqref="E56">
    <cfRule type="expression" dxfId="365" priority="15">
      <formula>$A$2="PRINT"</formula>
    </cfRule>
  </conditionalFormatting>
  <conditionalFormatting sqref="F61">
    <cfRule type="expression" dxfId="364" priority="12">
      <formula>$A$2="PRINT"</formula>
    </cfRule>
  </conditionalFormatting>
  <conditionalFormatting sqref="E61">
    <cfRule type="expression" dxfId="363" priority="13">
      <formula>$A$2="PRINT"</formula>
    </cfRule>
  </conditionalFormatting>
  <conditionalFormatting sqref="F66">
    <cfRule type="expression" dxfId="362" priority="10">
      <formula>$A$2="PRINT"</formula>
    </cfRule>
  </conditionalFormatting>
  <conditionalFormatting sqref="E66">
    <cfRule type="expression" dxfId="361" priority="11">
      <formula>$A$2="PRINT"</formula>
    </cfRule>
  </conditionalFormatting>
  <conditionalFormatting sqref="F71">
    <cfRule type="expression" dxfId="360" priority="8">
      <formula>$A$2="PRINT"</formula>
    </cfRule>
  </conditionalFormatting>
  <conditionalFormatting sqref="E71">
    <cfRule type="expression" dxfId="359" priority="9">
      <formula>$A$2="PRINT"</formula>
    </cfRule>
  </conditionalFormatting>
  <conditionalFormatting sqref="F76">
    <cfRule type="expression" dxfId="358" priority="6">
      <formula>$A$2="PRINT"</formula>
    </cfRule>
  </conditionalFormatting>
  <conditionalFormatting sqref="E76">
    <cfRule type="expression" dxfId="357" priority="7">
      <formula>$A$2="PRINT"</formula>
    </cfRule>
  </conditionalFormatting>
  <conditionalFormatting sqref="F81">
    <cfRule type="expression" dxfId="356" priority="4">
      <formula>$A$2="PRINT"</formula>
    </cfRule>
  </conditionalFormatting>
  <conditionalFormatting sqref="E81">
    <cfRule type="expression" dxfId="355" priority="5">
      <formula>$A$2="PRINT"</formula>
    </cfRule>
  </conditionalFormatting>
  <conditionalFormatting sqref="F86">
    <cfRule type="expression" dxfId="354" priority="2">
      <formula>$A$2="PRINT"</formula>
    </cfRule>
  </conditionalFormatting>
  <conditionalFormatting sqref="E86">
    <cfRule type="expression" dxfId="353" priority="3">
      <formula>$A$2="PRINT"</formula>
    </cfRule>
  </conditionalFormatting>
  <conditionalFormatting sqref="D96">
    <cfRule type="expression" dxfId="352" priority="1">
      <formula>$A$2="PRINT"</formula>
    </cfRule>
  </conditionalFormatting>
  <dataValidations count="4">
    <dataValidation type="list" allowBlank="1" showInputMessage="1" showErrorMessage="1" sqref="I38:J38" xr:uid="{00000000-0002-0000-2500-000000000000}">
      <formula1>" Click to select,0,1,2,3,4,5,6,7,8,9,10"</formula1>
    </dataValidation>
    <dataValidation type="list" allowBlank="1" showInputMessage="1" showErrorMessage="1" sqref="F41 F46 F81 F51 F56 F61 F66 F71 F76 F86" xr:uid="{00000000-0002-0000-2500-000001000000}">
      <formula1>" Click to select,Staff,Other operating,Depreciation,Cost of capital,Exceptional items"</formula1>
    </dataValidation>
    <dataValidation type="list" allowBlank="1" showInputMessage="1" showErrorMessage="1" sqref="E41 E46 E81 E51 E56 E61 E66 E71 E76 E86" xr:uid="{00000000-0002-0000-2500-000002000000}">
      <formula1>" Click to select,ANSP,MET,NSA/EUROCONTROL"</formula1>
    </dataValidation>
    <dataValidation type="list" allowBlank="1" showInputMessage="1" showErrorMessage="1" sqref="D96" xr:uid="{00000000-0002-0000-25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7">
    <tabColor theme="2" tint="-0.249977111117893"/>
    <pageSetUpPr fitToPage="1"/>
  </sheetPr>
  <dimension ref="A2:P115"/>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forecasts'!$F$136+'1.2 Traffic forecasts'!$G$136,0)),", 2020/2021","")&amp;IF(AND($F$16&lt;&gt;"",ROUND($F$16/1000,0)&lt;&gt;ROUND('1.2 Traffic forecasts'!$H$136,0)),", 2022","")&amp;IF(AND($G$16&lt;&gt;"",ROUND($G$16/1000,0)&lt;&gt;ROUND('1.2 Traffic forecasts'!$I$136,0)),", 2023","")&amp;IF(AND($H$16&lt;&gt;"",ROUND($H$16/1000,0)&lt;&gt;ROUND('1.2 Traffic forecasts'!$J$136,0)),", 2024","")</f>
        <v>#VALUE!</v>
      </c>
      <c r="P4" s="448" t="e">
        <f>IF(AND($E$16&lt;&gt;"",ROUND($E$16/1000,0)&lt;&gt;ROUND('1.2 Traffic forecasts'!$F$142+'1.2 Traffic forecasts'!$G$142,0)),", 2020/2021","")&amp;IF(AND($F$16&lt;&gt;"",ROUND($F$16/1000,0)&lt;&gt;ROUND('1.2 Traffic forecasts'!$H$142,0)),", 2022","")&amp;IF(AND($G$16&lt;&gt;"",ROUND($G$16/1000,0)&lt;&gt;ROUND('1.2 Traffic forecasts'!$I$142,0)),", 2023","")&amp;IF(AND($H$16&lt;&gt;"",ROUND($H$16/1000,0)&lt;&gt;ROUND('1.2 Traffic forecasts'!$J$142,0)),", 2024","")</f>
        <v>#VALUE!</v>
      </c>
    </row>
    <row r="5" spans="1:16">
      <c r="C5" s="227"/>
      <c r="D5" s="227"/>
      <c r="E5" s="227"/>
      <c r="F5" s="247"/>
      <c r="G5" s="247"/>
      <c r="H5" s="247"/>
      <c r="I5" s="247"/>
      <c r="J5" s="247"/>
    </row>
    <row r="6" spans="1:16" ht="15.75">
      <c r="C6" s="84" t="str">
        <f>"Terminal Charging Zone #2 - " &amp; IF('1.1 The situation'!$C$91="","",'1.1 The situation'!$C$91)</f>
        <v xml:space="preserve">Terminal Charging Zone #2 -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forecasts'!$C$131&lt;&gt;"Local Forecast",
IF(SUMPRODUCT((ROUND($F$16:$H$16/1000,0)&lt;&gt;ROUND('1.2 Traffic forecasts'!$H$136:$J$136,0))*($F$16:$H$16&lt;&gt;""))+(ROUND(SUM('1.2 Traffic forecasts'!$F$136:$G$136),0)&lt;&gt;ROUND($E$16/1000,0))*1&lt;&gt;0,"Attention: the TSUs provided below for this CZ do not correspond the figures provided in Section '1.2 Traffic forecasts'"&amp;IF($O$4&lt;&gt;""," for the year(s) "&amp;MID($O$4,3,LEN($O$4)-2),""),""),
IF(SUMPRODUCT((ROUND($F$16:$H$16/1000,0)&lt;&gt;ROUND('1.2 Traffic forecasts'!$H$142:$J$142,0))*($F$16:$H$16&lt;&gt;""))+(ROUND(SUM('1.2 Traffic forecasts'!$F$142:$G$142),0)&lt;&gt;ROUND($E$16/1000,0))*1&lt;&gt;0,"Attention: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51" priority="20">
      <formula>$A$2="PRINT"</formula>
    </cfRule>
  </conditionalFormatting>
  <conditionalFormatting sqref="I38">
    <cfRule type="expression" dxfId="350" priority="22">
      <formula>$A$2="PRINT"</formula>
    </cfRule>
  </conditionalFormatting>
  <conditionalFormatting sqref="E41">
    <cfRule type="expression" dxfId="349" priority="21">
      <formula>$A$2="PRINT"</formula>
    </cfRule>
  </conditionalFormatting>
  <conditionalFormatting sqref="F46">
    <cfRule type="expression" dxfId="348" priority="18">
      <formula>$A$2="PRINT"</formula>
    </cfRule>
  </conditionalFormatting>
  <conditionalFormatting sqref="E46">
    <cfRule type="expression" dxfId="347" priority="19">
      <formula>$A$2="PRINT"</formula>
    </cfRule>
  </conditionalFormatting>
  <conditionalFormatting sqref="F51">
    <cfRule type="expression" dxfId="346" priority="16">
      <formula>$A$2="PRINT"</formula>
    </cfRule>
  </conditionalFormatting>
  <conditionalFormatting sqref="E51">
    <cfRule type="expression" dxfId="345" priority="17">
      <formula>$A$2="PRINT"</formula>
    </cfRule>
  </conditionalFormatting>
  <conditionalFormatting sqref="F56">
    <cfRule type="expression" dxfId="344" priority="14">
      <formula>$A$2="PRINT"</formula>
    </cfRule>
  </conditionalFormatting>
  <conditionalFormatting sqref="E56">
    <cfRule type="expression" dxfId="343" priority="15">
      <formula>$A$2="PRINT"</formula>
    </cfRule>
  </conditionalFormatting>
  <conditionalFormatting sqref="F61">
    <cfRule type="expression" dxfId="342" priority="12">
      <formula>$A$2="PRINT"</formula>
    </cfRule>
  </conditionalFormatting>
  <conditionalFormatting sqref="E61">
    <cfRule type="expression" dxfId="341" priority="13">
      <formula>$A$2="PRINT"</formula>
    </cfRule>
  </conditionalFormatting>
  <conditionalFormatting sqref="F66">
    <cfRule type="expression" dxfId="340" priority="10">
      <formula>$A$2="PRINT"</formula>
    </cfRule>
  </conditionalFormatting>
  <conditionalFormatting sqref="E66">
    <cfRule type="expression" dxfId="339" priority="11">
      <formula>$A$2="PRINT"</formula>
    </cfRule>
  </conditionalFormatting>
  <conditionalFormatting sqref="F71">
    <cfRule type="expression" dxfId="338" priority="8">
      <formula>$A$2="PRINT"</formula>
    </cfRule>
  </conditionalFormatting>
  <conditionalFormatting sqref="E71">
    <cfRule type="expression" dxfId="337" priority="9">
      <formula>$A$2="PRINT"</formula>
    </cfRule>
  </conditionalFormatting>
  <conditionalFormatting sqref="F76">
    <cfRule type="expression" dxfId="336" priority="6">
      <formula>$A$2="PRINT"</formula>
    </cfRule>
  </conditionalFormatting>
  <conditionalFormatting sqref="E76">
    <cfRule type="expression" dxfId="335" priority="7">
      <formula>$A$2="PRINT"</formula>
    </cfRule>
  </conditionalFormatting>
  <conditionalFormatting sqref="F81">
    <cfRule type="expression" dxfId="334" priority="4">
      <formula>$A$2="PRINT"</formula>
    </cfRule>
  </conditionalFormatting>
  <conditionalFormatting sqref="E81">
    <cfRule type="expression" dxfId="333" priority="5">
      <formula>$A$2="PRINT"</formula>
    </cfRule>
  </conditionalFormatting>
  <conditionalFormatting sqref="F86">
    <cfRule type="expression" dxfId="332" priority="2">
      <formula>$A$2="PRINT"</formula>
    </cfRule>
  </conditionalFormatting>
  <conditionalFormatting sqref="E86">
    <cfRule type="expression" dxfId="331" priority="3">
      <formula>$A$2="PRINT"</formula>
    </cfRule>
  </conditionalFormatting>
  <conditionalFormatting sqref="D96">
    <cfRule type="expression" dxfId="330" priority="1">
      <formula>$A$2="PRINT"</formula>
    </cfRule>
  </conditionalFormatting>
  <dataValidations count="4">
    <dataValidation type="list" allowBlank="1" showInputMessage="1" showErrorMessage="1" sqref="D96" xr:uid="{00000000-0002-0000-2600-000000000000}">
      <formula1>" Click to select,Yes,No"</formula1>
    </dataValidation>
    <dataValidation type="list" allowBlank="1" showInputMessage="1" showErrorMessage="1" sqref="E41 E46 E81 E51 E56 E61 E66 E71 E76 E86" xr:uid="{00000000-0002-0000-2600-000001000000}">
      <formula1>" Click to select,ANSP,MET,NSA/EUROCONTROL"</formula1>
    </dataValidation>
    <dataValidation type="list" allowBlank="1" showInputMessage="1" showErrorMessage="1" sqref="F41 F46 F81 F51 F56 F61 F66 F71 F76 F86" xr:uid="{00000000-0002-0000-2600-000002000000}">
      <formula1>" Click to select,Staff,Other operating,Depreciation,Cost of capital,Exceptional items"</formula1>
    </dataValidation>
    <dataValidation type="list" allowBlank="1" showInputMessage="1" showErrorMessage="1" sqref="I38:J38" xr:uid="{00000000-0002-0000-26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5">
    <tabColor theme="2" tint="-0.249977111117893"/>
    <pageSetUpPr fitToPage="1"/>
  </sheetPr>
  <dimension ref="A1:D95"/>
  <sheetViews>
    <sheetView showGridLines="0" topLeftCell="A13" zoomScaleNormal="100" workbookViewId="0">
      <selection activeCell="D25" sqref="D25"/>
    </sheetView>
  </sheetViews>
  <sheetFormatPr defaultColWidth="9.140625" defaultRowHeight="15"/>
  <cols>
    <col min="1" max="1" width="9.140625" style="4"/>
    <col min="2" max="2" width="30.7109375" style="4" customWidth="1"/>
    <col min="3" max="3" width="25.7109375" style="4" customWidth="1"/>
    <col min="4" max="4" width="60.7109375" style="4" customWidth="1"/>
    <col min="5" max="5" width="1.7109375" style="4" customWidth="1"/>
    <col min="6" max="16384" width="9.140625" style="4"/>
  </cols>
  <sheetData>
    <row r="1" spans="1:4" ht="15.75" customHeight="1"/>
    <row r="2" spans="1:4" ht="21">
      <c r="A2" s="106"/>
      <c r="B2" s="621" t="s">
        <v>417</v>
      </c>
      <c r="C2" s="621"/>
      <c r="D2" s="621"/>
    </row>
    <row r="3" spans="1:4">
      <c r="B3" s="131"/>
      <c r="C3" s="131"/>
      <c r="D3" s="132"/>
    </row>
    <row r="4" spans="1:4">
      <c r="B4" s="622" t="s">
        <v>418</v>
      </c>
      <c r="C4" s="622"/>
      <c r="D4" s="623"/>
    </row>
    <row r="5" spans="1:4" ht="20.25" customHeight="1">
      <c r="B5" s="133" t="s">
        <v>421</v>
      </c>
      <c r="C5" s="624" t="s">
        <v>213</v>
      </c>
      <c r="D5" s="625"/>
    </row>
    <row r="6" spans="1:4" ht="30" customHeight="1">
      <c r="B6" s="133" t="s">
        <v>974</v>
      </c>
      <c r="C6" s="624" t="s">
        <v>1530</v>
      </c>
      <c r="D6" s="625"/>
    </row>
    <row r="7" spans="1:4" ht="31.5" customHeight="1">
      <c r="B7" s="133" t="s">
        <v>419</v>
      </c>
      <c r="C7" s="626" t="s">
        <v>1937</v>
      </c>
      <c r="D7" s="627"/>
    </row>
    <row r="8" spans="1:4" ht="30">
      <c r="B8" s="133" t="s">
        <v>975</v>
      </c>
      <c r="C8" s="626" t="s">
        <v>1937</v>
      </c>
      <c r="D8" s="627"/>
    </row>
    <row r="9" spans="1:4" ht="30">
      <c r="B9" s="133" t="s">
        <v>976</v>
      </c>
      <c r="C9" s="626" t="s">
        <v>1936</v>
      </c>
      <c r="D9" s="627"/>
    </row>
    <row r="10" spans="1:4">
      <c r="B10" s="131"/>
      <c r="C10" s="131"/>
      <c r="D10" s="132"/>
    </row>
    <row r="11" spans="1:4" ht="30" customHeight="1">
      <c r="B11" s="628" t="s">
        <v>1393</v>
      </c>
      <c r="C11" s="628"/>
      <c r="D11" s="629"/>
    </row>
    <row r="12" spans="1:4">
      <c r="B12" s="131"/>
      <c r="C12" s="131"/>
      <c r="D12" s="132"/>
    </row>
    <row r="13" spans="1:4" ht="15" customHeight="1">
      <c r="B13" s="619" t="s">
        <v>420</v>
      </c>
      <c r="C13" s="619"/>
      <c r="D13" s="620"/>
    </row>
    <row r="14" spans="1:4" ht="133.5" customHeight="1">
      <c r="B14" s="496" t="s">
        <v>1768</v>
      </c>
      <c r="C14" s="615" t="s">
        <v>1769</v>
      </c>
      <c r="D14" s="616"/>
    </row>
    <row r="15" spans="1:4">
      <c r="B15" s="134"/>
      <c r="C15" s="135"/>
      <c r="D15" s="132"/>
    </row>
    <row r="16" spans="1:4">
      <c r="B16" s="136" t="s">
        <v>23</v>
      </c>
      <c r="C16" s="617"/>
      <c r="D16" s="618"/>
    </row>
    <row r="17" spans="2:4">
      <c r="B17" s="132"/>
      <c r="C17" s="132"/>
      <c r="D17" s="132"/>
    </row>
    <row r="18" spans="2:4">
      <c r="B18" s="619" t="s">
        <v>1007</v>
      </c>
      <c r="C18" s="619"/>
      <c r="D18" s="620"/>
    </row>
    <row r="19" spans="2:4">
      <c r="B19" s="133" t="s">
        <v>971</v>
      </c>
      <c r="C19" s="133" t="s">
        <v>1005</v>
      </c>
      <c r="D19" s="137" t="s">
        <v>1006</v>
      </c>
    </row>
    <row r="20" spans="2:4" ht="33.75" customHeight="1">
      <c r="B20" s="482" t="s">
        <v>1818</v>
      </c>
      <c r="C20" s="483">
        <v>44469</v>
      </c>
      <c r="D20" s="484" t="s">
        <v>1819</v>
      </c>
    </row>
    <row r="21" spans="2:4" ht="45">
      <c r="B21" s="527" t="s">
        <v>1875</v>
      </c>
      <c r="C21" s="483">
        <v>44517</v>
      </c>
      <c r="D21" s="484" t="s">
        <v>1865</v>
      </c>
    </row>
    <row r="22" spans="2:4" ht="30">
      <c r="B22" s="527">
        <v>4</v>
      </c>
      <c r="C22" s="483">
        <v>44755</v>
      </c>
      <c r="D22" s="484" t="s">
        <v>1893</v>
      </c>
    </row>
    <row r="23" spans="2:4" ht="30">
      <c r="B23" s="1125">
        <v>5</v>
      </c>
      <c r="C23" s="1126">
        <v>44776</v>
      </c>
      <c r="D23" s="1127" t="s">
        <v>1928</v>
      </c>
    </row>
    <row r="24" spans="2:4" ht="21.75" customHeight="1">
      <c r="B24" s="1125">
        <v>6</v>
      </c>
      <c r="C24" s="1126">
        <v>44818</v>
      </c>
      <c r="D24" s="1127" t="s">
        <v>1938</v>
      </c>
    </row>
    <row r="25" spans="2:4" ht="22.5" customHeight="1">
      <c r="B25" s="1125">
        <v>7</v>
      </c>
      <c r="C25" s="1126">
        <v>44916</v>
      </c>
      <c r="D25" s="1127" t="s">
        <v>1939</v>
      </c>
    </row>
    <row r="26" spans="2:4">
      <c r="B26" s="132"/>
      <c r="C26" s="132"/>
      <c r="D26" s="132"/>
    </row>
    <row r="28" spans="2:4">
      <c r="B28"/>
    </row>
    <row r="95" spans="3:3">
      <c r="C95" s="4" t="str">
        <f>""</f>
        <v/>
      </c>
    </row>
  </sheetData>
  <sheetProtection formatCells="0" formatColumns="0" formatRows="0" insertHyperlinks="0"/>
  <mergeCells count="12">
    <mergeCell ref="C14:D14"/>
    <mergeCell ref="C16:D16"/>
    <mergeCell ref="B18:D18"/>
    <mergeCell ref="B2:D2"/>
    <mergeCell ref="B4:D4"/>
    <mergeCell ref="C5:D5"/>
    <mergeCell ref="C6:D6"/>
    <mergeCell ref="C7:D7"/>
    <mergeCell ref="C8:D8"/>
    <mergeCell ref="C9:D9"/>
    <mergeCell ref="B11:D11"/>
    <mergeCell ref="B13:D13"/>
  </mergeCells>
  <conditionalFormatting sqref="C5:D6">
    <cfRule type="expression" dxfId="1440" priority="1">
      <formula>$A$2="PRINT"</formula>
    </cfRule>
  </conditionalFormatting>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ignoredErrors>
    <ignoredError sqref="B20:B21" numberStoredAsText="1"/>
  </ignoredErrors>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'Prefilled information'!$N$5:$N$15</xm:f>
          </x14:formula1>
          <xm:sqref>C6</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
    <tabColor theme="2" tint="-0.249977111117893"/>
    <pageSetUpPr fitToPage="1"/>
  </sheetPr>
  <dimension ref="A2:P115"/>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forecasts'!$F$156+'1.2 Traffic forecasts'!$G$156,0)),", 2020/2021","")&amp;IF(AND($F$16&lt;&gt;"",ROUND($F$16/1000,0)&lt;&gt;ROUND('1.2 Traffic forecasts'!$H$156,0)),", 2022","")&amp;IF(AND($G$16&lt;&gt;"",ROUND($G$16/1000,0)&lt;&gt;ROUND('1.2 Traffic forecasts'!$I$156,0)),", 2023","")&amp;IF(AND($H$16&lt;&gt;"",ROUND($H$16/1000,0)&lt;&gt;ROUND('1.2 Traffic forecasts'!$J$156,0)),", 2024","")</f>
        <v>#VALUE!</v>
      </c>
      <c r="P4" s="448" t="e">
        <f>IF(AND($E$16&lt;&gt;"",ROUND($E$16/1000,0)&lt;&gt;ROUND('1.2 Traffic forecasts'!$F$162+'1.2 Traffic forecasts'!$G$162,0)),", 2020/2021","")&amp;IF(AND($F$16&lt;&gt;"",ROUND($F$16/1000,0)&lt;&gt;ROUND('1.2 Traffic forecasts'!$H$162,0)),", 2022","")&amp;IF(AND($G$16&lt;&gt;"",ROUND($G$16/1000,0)&lt;&gt;ROUND('1.2 Traffic forecasts'!$I$162,0)),", 2023","")&amp;IF(AND($H$16&lt;&gt;"",ROUND($H$16/1000,0)&lt;&gt;ROUND('1.2 Traffic forecasts'!$J$162,0)),", 2024","")</f>
        <v>#VALUE!</v>
      </c>
    </row>
    <row r="5" spans="1:16">
      <c r="C5" s="227"/>
      <c r="D5" s="227"/>
      <c r="E5" s="227"/>
      <c r="F5" s="247"/>
      <c r="G5" s="247"/>
      <c r="H5" s="247"/>
      <c r="I5" s="247"/>
      <c r="J5" s="247"/>
    </row>
    <row r="6" spans="1:16" ht="15.75">
      <c r="C6" s="84" t="str">
        <f>"Terminal Charging Zone #3 - " &amp; IF('1.1 The situation'!$C$92="","",'1.1 The situation'!$C$92)</f>
        <v xml:space="preserve">Terminal Charging Zone #3 -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forecasts'!$C$151&lt;&gt;"Local Forecast",
IF(SUMPRODUCT((ROUND($F$16:$H$16/1000,0)&lt;&gt;ROUND('1.2 Traffic forecasts'!$H$156:$J$156,0))*($F$16:$H$16&lt;&gt;""))+(ROUND(SUM('1.2 Traffic forecasts'!$F$156:$G$156),0)&lt;&gt;ROUND($E$16/1000,0))*1&lt;&gt;0,"Attention: the TSUs provided below for this CZ do not correspond the figures provided in Section '1.2 Traffic forecasts'"&amp;IF($O$4&lt;&gt;""," for the year(s) "&amp;MID($O$4,3,LEN($O$4)-2),""),""),
IF(SUMPRODUCT((ROUND($F$16:$H$16/1000,0)&lt;&gt;ROUND('1.2 Traffic forecasts'!$H$162:$J$162,0))*($F$16:$H$16&lt;&gt;""))+(ROUND(SUM('1.2 Traffic forecasts'!$F$162:$G$162),0)&lt;&gt;ROUND($E$16/1000,0))*1&lt;&gt;0,"Attention: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29" priority="20">
      <formula>$A$2="PRINT"</formula>
    </cfRule>
  </conditionalFormatting>
  <conditionalFormatting sqref="I38">
    <cfRule type="expression" dxfId="328" priority="22">
      <formula>$A$2="PRINT"</formula>
    </cfRule>
  </conditionalFormatting>
  <conditionalFormatting sqref="E41">
    <cfRule type="expression" dxfId="327" priority="21">
      <formula>$A$2="PRINT"</formula>
    </cfRule>
  </conditionalFormatting>
  <conditionalFormatting sqref="F46">
    <cfRule type="expression" dxfId="326" priority="18">
      <formula>$A$2="PRINT"</formula>
    </cfRule>
  </conditionalFormatting>
  <conditionalFormatting sqref="E46">
    <cfRule type="expression" dxfId="325" priority="19">
      <formula>$A$2="PRINT"</formula>
    </cfRule>
  </conditionalFormatting>
  <conditionalFormatting sqref="F51">
    <cfRule type="expression" dxfId="324" priority="16">
      <formula>$A$2="PRINT"</formula>
    </cfRule>
  </conditionalFormatting>
  <conditionalFormatting sqref="E51">
    <cfRule type="expression" dxfId="323" priority="17">
      <formula>$A$2="PRINT"</formula>
    </cfRule>
  </conditionalFormatting>
  <conditionalFormatting sqref="F56">
    <cfRule type="expression" dxfId="322" priority="14">
      <formula>$A$2="PRINT"</formula>
    </cfRule>
  </conditionalFormatting>
  <conditionalFormatting sqref="E56">
    <cfRule type="expression" dxfId="321" priority="15">
      <formula>$A$2="PRINT"</formula>
    </cfRule>
  </conditionalFormatting>
  <conditionalFormatting sqref="F61">
    <cfRule type="expression" dxfId="320" priority="12">
      <formula>$A$2="PRINT"</formula>
    </cfRule>
  </conditionalFormatting>
  <conditionalFormatting sqref="E61">
    <cfRule type="expression" dxfId="319" priority="13">
      <formula>$A$2="PRINT"</formula>
    </cfRule>
  </conditionalFormatting>
  <conditionalFormatting sqref="F66">
    <cfRule type="expression" dxfId="318" priority="10">
      <formula>$A$2="PRINT"</formula>
    </cfRule>
  </conditionalFormatting>
  <conditionalFormatting sqref="E66">
    <cfRule type="expression" dxfId="317" priority="11">
      <formula>$A$2="PRINT"</formula>
    </cfRule>
  </conditionalFormatting>
  <conditionalFormatting sqref="F71">
    <cfRule type="expression" dxfId="316" priority="8">
      <formula>$A$2="PRINT"</formula>
    </cfRule>
  </conditionalFormatting>
  <conditionalFormatting sqref="E71">
    <cfRule type="expression" dxfId="315" priority="9">
      <formula>$A$2="PRINT"</formula>
    </cfRule>
  </conditionalFormatting>
  <conditionalFormatting sqref="F76">
    <cfRule type="expression" dxfId="314" priority="6">
      <formula>$A$2="PRINT"</formula>
    </cfRule>
  </conditionalFormatting>
  <conditionalFormatting sqref="E76">
    <cfRule type="expression" dxfId="313" priority="7">
      <formula>$A$2="PRINT"</formula>
    </cfRule>
  </conditionalFormatting>
  <conditionalFormatting sqref="F81">
    <cfRule type="expression" dxfId="312" priority="4">
      <formula>$A$2="PRINT"</formula>
    </cfRule>
  </conditionalFormatting>
  <conditionalFormatting sqref="E81">
    <cfRule type="expression" dxfId="311" priority="5">
      <formula>$A$2="PRINT"</formula>
    </cfRule>
  </conditionalFormatting>
  <conditionalFormatting sqref="F86">
    <cfRule type="expression" dxfId="310" priority="2">
      <formula>$A$2="PRINT"</formula>
    </cfRule>
  </conditionalFormatting>
  <conditionalFormatting sqref="E86">
    <cfRule type="expression" dxfId="309" priority="3">
      <formula>$A$2="PRINT"</formula>
    </cfRule>
  </conditionalFormatting>
  <conditionalFormatting sqref="D96">
    <cfRule type="expression" dxfId="308" priority="1">
      <formula>$A$2="PRINT"</formula>
    </cfRule>
  </conditionalFormatting>
  <dataValidations count="4">
    <dataValidation type="list" allowBlank="1" showInputMessage="1" showErrorMessage="1" sqref="D96" xr:uid="{00000000-0002-0000-2700-000000000000}">
      <formula1>" Click to select,Yes,No"</formula1>
    </dataValidation>
    <dataValidation type="list" allowBlank="1" showInputMessage="1" showErrorMessage="1" sqref="E41 E46 E81 E51 E56 E61 E66 E71 E76 E86" xr:uid="{00000000-0002-0000-2700-000001000000}">
      <formula1>" Click to select,ANSP,MET,NSA/EUROCONTROL"</formula1>
    </dataValidation>
    <dataValidation type="list" allowBlank="1" showInputMessage="1" showErrorMessage="1" sqref="F41 F46 F81 F51 F56 F61 F66 F71 F76 F86" xr:uid="{00000000-0002-0000-2700-000002000000}">
      <formula1>" Click to select,Staff,Other operating,Depreciation,Cost of capital,Exceptional items"</formula1>
    </dataValidation>
    <dataValidation type="list" allowBlank="1" showInputMessage="1" showErrorMessage="1" sqref="I38:J38" xr:uid="{00000000-0002-0000-27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
    <tabColor theme="2" tint="-0.249977111117893"/>
    <pageSetUpPr fitToPage="1"/>
  </sheetPr>
  <dimension ref="A2:P115"/>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forecasts'!$F$176+'1.2 Traffic forecasts'!$G$176,0)),", 2020/2021","")&amp;IF(AND($F$16&lt;&gt;"",ROUND($F$16/1000,0)&lt;&gt;ROUND('1.2 Traffic forecasts'!$H$176,0)),", 2022","")&amp;IF(AND($G$16&lt;&gt;"",ROUND($G$16/1000,0)&lt;&gt;ROUND('1.2 Traffic forecasts'!$I$176,0)),", 2023","")&amp;IF(AND($H$16&lt;&gt;"",ROUND($H$16/1000,0)&lt;&gt;ROUND('1.2 Traffic forecasts'!$J$176,0)),", 2024","")</f>
        <v>#VALUE!</v>
      </c>
      <c r="P4" s="448" t="e">
        <f>IF(AND($E$16&lt;&gt;"",ROUND($E$16/1000,0)&lt;&gt;ROUND('1.2 Traffic forecasts'!$F$182+'1.2 Traffic forecasts'!$G$182,0)),", 2020/2021","")&amp;IF(AND($F$16&lt;&gt;"",ROUND($F$16/1000,0)&lt;&gt;ROUND('1.2 Traffic forecasts'!$H$182,0)),", 2022","")&amp;IF(AND($G$16&lt;&gt;"",ROUND($G$16/1000,0)&lt;&gt;ROUND('1.2 Traffic forecasts'!$I$182,0)),", 2023","")&amp;IF(AND($H$16&lt;&gt;"",ROUND($H$16/1000,0)&lt;&gt;ROUND('1.2 Traffic forecasts'!$J$182,0)),", 2024","")</f>
        <v>#VALUE!</v>
      </c>
    </row>
    <row r="5" spans="1:16">
      <c r="C5" s="227"/>
      <c r="D5" s="227"/>
      <c r="E5" s="227"/>
      <c r="F5" s="247"/>
      <c r="G5" s="247"/>
      <c r="H5" s="247"/>
      <c r="I5" s="247"/>
      <c r="J5" s="247"/>
    </row>
    <row r="6" spans="1:16" ht="15.75">
      <c r="C6" s="84" t="str">
        <f>"Terminal Charging Zone #4 - " &amp; IF('1.1 The situation'!$C$93="","",'1.1 The situation'!$C$93)</f>
        <v xml:space="preserve">Terminal Charging Zone #4 -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forecasts'!$C$171&lt;&gt;"Local Forecast",
IF(SUMPRODUCT((ROUND($F$16:$H$16/1000,0)&lt;&gt;ROUND('1.2 Traffic forecasts'!$H$176:$J$176,0))*($F$16:$H$16&lt;&gt;""))+(ROUND(SUM('1.2 Traffic forecasts'!$F$176:$G$176),0)&lt;&gt;ROUND($E$16/1000,0))*1&lt;&gt;0,"Attention: the TSUs provided below for this CZ do not correspond the figures provided in Section '1.2 Traffic forecasts'"&amp;IF($O$4&lt;&gt;""," for the year(s) "&amp;MID($O$4,3,LEN($O$4)-2),""),""),
IF(SUMPRODUCT((ROUND($F$16:$H$16/1000,0)&lt;&gt;ROUND('1.2 Traffic forecasts'!$H$182:$J$182,0))*($F$16:$H$16&lt;&gt;""))+(ROUND(SUM('1.2 Traffic forecasts'!$F$182:$G$182),0)&lt;&gt;ROUND($E$16/1000,0))*1&lt;&gt;0,"Attention: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307" priority="20">
      <formula>$A$2="PRINT"</formula>
    </cfRule>
  </conditionalFormatting>
  <conditionalFormatting sqref="I38">
    <cfRule type="expression" dxfId="306" priority="22">
      <formula>$A$2="PRINT"</formula>
    </cfRule>
  </conditionalFormatting>
  <conditionalFormatting sqref="E41">
    <cfRule type="expression" dxfId="305" priority="21">
      <formula>$A$2="PRINT"</formula>
    </cfRule>
  </conditionalFormatting>
  <conditionalFormatting sqref="F46">
    <cfRule type="expression" dxfId="304" priority="18">
      <formula>$A$2="PRINT"</formula>
    </cfRule>
  </conditionalFormatting>
  <conditionalFormatting sqref="E46">
    <cfRule type="expression" dxfId="303" priority="19">
      <formula>$A$2="PRINT"</formula>
    </cfRule>
  </conditionalFormatting>
  <conditionalFormatting sqref="F51">
    <cfRule type="expression" dxfId="302" priority="16">
      <formula>$A$2="PRINT"</formula>
    </cfRule>
  </conditionalFormatting>
  <conditionalFormatting sqref="E51">
    <cfRule type="expression" dxfId="301" priority="17">
      <formula>$A$2="PRINT"</formula>
    </cfRule>
  </conditionalFormatting>
  <conditionalFormatting sqref="F56">
    <cfRule type="expression" dxfId="300" priority="14">
      <formula>$A$2="PRINT"</formula>
    </cfRule>
  </conditionalFormatting>
  <conditionalFormatting sqref="E56">
    <cfRule type="expression" dxfId="299" priority="15">
      <formula>$A$2="PRINT"</formula>
    </cfRule>
  </conditionalFormatting>
  <conditionalFormatting sqref="F61">
    <cfRule type="expression" dxfId="298" priority="12">
      <formula>$A$2="PRINT"</formula>
    </cfRule>
  </conditionalFormatting>
  <conditionalFormatting sqref="E61">
    <cfRule type="expression" dxfId="297" priority="13">
      <formula>$A$2="PRINT"</formula>
    </cfRule>
  </conditionalFormatting>
  <conditionalFormatting sqref="F66">
    <cfRule type="expression" dxfId="296" priority="10">
      <formula>$A$2="PRINT"</formula>
    </cfRule>
  </conditionalFormatting>
  <conditionalFormatting sqref="E66">
    <cfRule type="expression" dxfId="295" priority="11">
      <formula>$A$2="PRINT"</formula>
    </cfRule>
  </conditionalFormatting>
  <conditionalFormatting sqref="F71">
    <cfRule type="expression" dxfId="294" priority="8">
      <formula>$A$2="PRINT"</formula>
    </cfRule>
  </conditionalFormatting>
  <conditionalFormatting sqref="E71">
    <cfRule type="expression" dxfId="293" priority="9">
      <formula>$A$2="PRINT"</formula>
    </cfRule>
  </conditionalFormatting>
  <conditionalFormatting sqref="F76">
    <cfRule type="expression" dxfId="292" priority="6">
      <formula>$A$2="PRINT"</formula>
    </cfRule>
  </conditionalFormatting>
  <conditionalFormatting sqref="E76">
    <cfRule type="expression" dxfId="291" priority="7">
      <formula>$A$2="PRINT"</formula>
    </cfRule>
  </conditionalFormatting>
  <conditionalFormatting sqref="F81">
    <cfRule type="expression" dxfId="290" priority="4">
      <formula>$A$2="PRINT"</formula>
    </cfRule>
  </conditionalFormatting>
  <conditionalFormatting sqref="E81">
    <cfRule type="expression" dxfId="289" priority="5">
      <formula>$A$2="PRINT"</formula>
    </cfRule>
  </conditionalFormatting>
  <conditionalFormatting sqref="F86">
    <cfRule type="expression" dxfId="288" priority="2">
      <formula>$A$2="PRINT"</formula>
    </cfRule>
  </conditionalFormatting>
  <conditionalFormatting sqref="E86">
    <cfRule type="expression" dxfId="287" priority="3">
      <formula>$A$2="PRINT"</formula>
    </cfRule>
  </conditionalFormatting>
  <conditionalFormatting sqref="D96">
    <cfRule type="expression" dxfId="286" priority="1">
      <formula>$A$2="PRINT"</formula>
    </cfRule>
  </conditionalFormatting>
  <dataValidations count="4">
    <dataValidation type="list" allowBlank="1" showInputMessage="1" showErrorMessage="1" sqref="I38:J38" xr:uid="{00000000-0002-0000-2800-000000000000}">
      <formula1>" Click to select,0,1,2,3,4,5,6,7,8,9,10"</formula1>
    </dataValidation>
    <dataValidation type="list" allowBlank="1" showInputMessage="1" showErrorMessage="1" sqref="F41 F46 F81 F51 F56 F61 F66 F71 F76 F86" xr:uid="{00000000-0002-0000-2800-000001000000}">
      <formula1>" Click to select,Staff,Other operating,Depreciation,Cost of capital,Exceptional items"</formula1>
    </dataValidation>
    <dataValidation type="list" allowBlank="1" showInputMessage="1" showErrorMessage="1" sqref="E41 E46 E81 E51 E56 E61 E66 E71 E76 E86" xr:uid="{00000000-0002-0000-2800-000002000000}">
      <formula1>" Click to select,ANSP,MET,NSA/EUROCONTROL"</formula1>
    </dataValidation>
    <dataValidation type="list" allowBlank="1" showInputMessage="1" showErrorMessage="1" sqref="D96" xr:uid="{00000000-0002-0000-28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9">
    <tabColor theme="2" tint="-0.249977111117893"/>
    <pageSetUpPr fitToPage="1"/>
  </sheetPr>
  <dimension ref="A2:P115"/>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forecasts'!$F$196+'1.2 Traffic forecasts'!$G$196,0)),", 2020/2021","")&amp;IF(AND($F$16&lt;&gt;"",ROUND($F$16/1000,0)&lt;&gt;ROUND('1.2 Traffic forecasts'!$H$196,0)),", 2022","")&amp;IF(AND($G$16&lt;&gt;"",ROUND($G$16/1000,0)&lt;&gt;ROUND('1.2 Traffic forecasts'!$I$196,0)),", 2023","")&amp;IF(AND($H$16&lt;&gt;"",ROUND($H$16/1000,0)&lt;&gt;ROUND('1.2 Traffic forecasts'!$J$196,0)),", 2024","")</f>
        <v>#VALUE!</v>
      </c>
      <c r="P4" s="448" t="e">
        <f>IF(AND($E$16&lt;&gt;"",ROUND($E$16/1000,0)&lt;&gt;ROUND('1.2 Traffic forecasts'!$F$202+'1.2 Traffic forecasts'!$G$202,0)),", 2020/2021","")&amp;IF(AND($F$16&lt;&gt;"",ROUND($F$16/1000,0)&lt;&gt;ROUND('1.2 Traffic forecasts'!$H$202,0)),", 2022","")&amp;IF(AND($G$16&lt;&gt;"",ROUND($G$16/1000,0)&lt;&gt;ROUND('1.2 Traffic forecasts'!$I$202,0)),", 2023","")&amp;IF(AND($H$16&lt;&gt;"",ROUND($H$16/1000,0)&lt;&gt;ROUND('1.2 Traffic forecasts'!$J$202,0)),", 2024","")</f>
        <v>#VALUE!</v>
      </c>
    </row>
    <row r="5" spans="1:16">
      <c r="C5" s="227"/>
      <c r="D5" s="227"/>
      <c r="E5" s="227"/>
      <c r="F5" s="247"/>
      <c r="G5" s="247"/>
      <c r="H5" s="247"/>
      <c r="I5" s="247"/>
      <c r="J5" s="247"/>
    </row>
    <row r="6" spans="1:16" ht="15.75">
      <c r="C6" s="84" t="str">
        <f>"Terminal Charging Zone #5 - " &amp; IF('1.1 The situation'!$C$94="","",'1.1 The situation'!$C$94)</f>
        <v xml:space="preserve">Terminal Charging Zone #5 -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forecasts'!$C$191&lt;&gt;"Local Forecast",
IF(SUMPRODUCT((ROUND($F$16:$H$16/1000,0)&lt;&gt;ROUND('1.2 Traffic forecasts'!$H$196:$J$196,0))*($F$16:$H$16&lt;&gt;""))+(ROUND(SUM('1.2 Traffic forecasts'!$F$196:$G$196),0)&lt;&gt;ROUND($E$16/1000,0))*1&lt;&gt;0,"Attention: the TSUs provided below for this CZ do not correspond the figures provided in Section '1.2 Traffic forecasts'"&amp;IF($O$4&lt;&gt;""," for the year(s) "&amp;MID($O$4,3,LEN($O$4)-2),""),""),
IF(SUMPRODUCT((ROUND($F$16:$H$16/1000,0)&lt;&gt;ROUND('1.2 Traffic forecasts'!$H$202:$J$202,0))*($F$16:$H$16&lt;&gt;""))+(ROUND(SUM('1.2 Traffic forecasts'!$F$202:$G$202),0)&lt;&gt;ROUND($E$16/1000,0))*1&lt;&gt;0,"Attention: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85" priority="20">
      <formula>$A$2="PRINT"</formula>
    </cfRule>
  </conditionalFormatting>
  <conditionalFormatting sqref="I38">
    <cfRule type="expression" dxfId="284" priority="22">
      <formula>$A$2="PRINT"</formula>
    </cfRule>
  </conditionalFormatting>
  <conditionalFormatting sqref="E41">
    <cfRule type="expression" dxfId="283" priority="21">
      <formula>$A$2="PRINT"</formula>
    </cfRule>
  </conditionalFormatting>
  <conditionalFormatting sqref="F46">
    <cfRule type="expression" dxfId="282" priority="18">
      <formula>$A$2="PRINT"</formula>
    </cfRule>
  </conditionalFormatting>
  <conditionalFormatting sqref="E46">
    <cfRule type="expression" dxfId="281" priority="19">
      <formula>$A$2="PRINT"</formula>
    </cfRule>
  </conditionalFormatting>
  <conditionalFormatting sqref="F51">
    <cfRule type="expression" dxfId="280" priority="16">
      <formula>$A$2="PRINT"</formula>
    </cfRule>
  </conditionalFormatting>
  <conditionalFormatting sqref="E51">
    <cfRule type="expression" dxfId="279" priority="17">
      <formula>$A$2="PRINT"</formula>
    </cfRule>
  </conditionalFormatting>
  <conditionalFormatting sqref="F56">
    <cfRule type="expression" dxfId="278" priority="14">
      <formula>$A$2="PRINT"</formula>
    </cfRule>
  </conditionalFormatting>
  <conditionalFormatting sqref="E56">
    <cfRule type="expression" dxfId="277" priority="15">
      <formula>$A$2="PRINT"</formula>
    </cfRule>
  </conditionalFormatting>
  <conditionalFormatting sqref="F61">
    <cfRule type="expression" dxfId="276" priority="12">
      <formula>$A$2="PRINT"</formula>
    </cfRule>
  </conditionalFormatting>
  <conditionalFormatting sqref="E61">
    <cfRule type="expression" dxfId="275" priority="13">
      <formula>$A$2="PRINT"</formula>
    </cfRule>
  </conditionalFormatting>
  <conditionalFormatting sqref="F66">
    <cfRule type="expression" dxfId="274" priority="10">
      <formula>$A$2="PRINT"</formula>
    </cfRule>
  </conditionalFormatting>
  <conditionalFormatting sqref="E66">
    <cfRule type="expression" dxfId="273" priority="11">
      <formula>$A$2="PRINT"</formula>
    </cfRule>
  </conditionalFormatting>
  <conditionalFormatting sqref="F71">
    <cfRule type="expression" dxfId="272" priority="8">
      <formula>$A$2="PRINT"</formula>
    </cfRule>
  </conditionalFormatting>
  <conditionalFormatting sqref="E71">
    <cfRule type="expression" dxfId="271" priority="9">
      <formula>$A$2="PRINT"</formula>
    </cfRule>
  </conditionalFormatting>
  <conditionalFormatting sqref="F76">
    <cfRule type="expression" dxfId="270" priority="6">
      <formula>$A$2="PRINT"</formula>
    </cfRule>
  </conditionalFormatting>
  <conditionalFormatting sqref="E76">
    <cfRule type="expression" dxfId="269" priority="7">
      <formula>$A$2="PRINT"</formula>
    </cfRule>
  </conditionalFormatting>
  <conditionalFormatting sqref="F81">
    <cfRule type="expression" dxfId="268" priority="4">
      <formula>$A$2="PRINT"</formula>
    </cfRule>
  </conditionalFormatting>
  <conditionalFormatting sqref="E81">
    <cfRule type="expression" dxfId="267" priority="5">
      <formula>$A$2="PRINT"</formula>
    </cfRule>
  </conditionalFormatting>
  <conditionalFormatting sqref="F86">
    <cfRule type="expression" dxfId="266" priority="2">
      <formula>$A$2="PRINT"</formula>
    </cfRule>
  </conditionalFormatting>
  <conditionalFormatting sqref="E86">
    <cfRule type="expression" dxfId="265" priority="3">
      <formula>$A$2="PRINT"</formula>
    </cfRule>
  </conditionalFormatting>
  <conditionalFormatting sqref="D96">
    <cfRule type="expression" dxfId="264" priority="1">
      <formula>$A$2="PRINT"</formula>
    </cfRule>
  </conditionalFormatting>
  <dataValidations count="4">
    <dataValidation type="list" allowBlank="1" showInputMessage="1" showErrorMessage="1" sqref="D96" xr:uid="{00000000-0002-0000-2900-000000000000}">
      <formula1>" Click to select,Yes,No"</formula1>
    </dataValidation>
    <dataValidation type="list" allowBlank="1" showInputMessage="1" showErrorMessage="1" sqref="E41 E46 E81 E51 E56 E61 E66 E71 E76 E86" xr:uid="{00000000-0002-0000-2900-000001000000}">
      <formula1>" Click to select,ANSP,MET,NSA/EUROCONTROL"</formula1>
    </dataValidation>
    <dataValidation type="list" allowBlank="1" showInputMessage="1" showErrorMessage="1" sqref="F41 F46 F81 F51 F56 F61 F66 F71 F76 F86" xr:uid="{00000000-0002-0000-2900-000002000000}">
      <formula1>" Click to select,Staff,Other operating,Depreciation,Cost of capital,Exceptional items"</formula1>
    </dataValidation>
    <dataValidation type="list" allowBlank="1" showInputMessage="1" showErrorMessage="1" sqref="I38:J38" xr:uid="{00000000-0002-0000-29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tabColor theme="2" tint="-0.249977111117893"/>
    <pageSetUpPr fitToPage="1"/>
  </sheetPr>
  <dimension ref="A2:P115"/>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forecasts'!$F$216+'1.2 Traffic forecasts'!$G$216,0)),", 2020/2021","")&amp;IF(AND($F$16&lt;&gt;"",ROUND($F$16/1000,0)&lt;&gt;ROUND('1.2 Traffic forecasts'!$H$216,0)),", 2022","")&amp;IF(AND($G$16&lt;&gt;"",ROUND($G$16/1000,0)&lt;&gt;ROUND('1.2 Traffic forecasts'!$I$216,0)),", 2023","")&amp;IF(AND($H$16&lt;&gt;"",ROUND($H$16/1000,0)&lt;&gt;ROUND('1.2 Traffic forecasts'!$J$216,0)),", 2024","")</f>
        <v>#VALUE!</v>
      </c>
      <c r="P4" s="448" t="e">
        <f>IF(AND($E$16&lt;&gt;"",ROUND($E$16/1000,0)&lt;&gt;ROUND('1.2 Traffic forecasts'!$F$222+'1.2 Traffic forecasts'!$G$222,0)),", 2020/2021","")&amp;IF(AND($F$16&lt;&gt;"",ROUND($F$16/1000,0)&lt;&gt;ROUND('1.2 Traffic forecasts'!$H$222,0)),", 2022","")&amp;IF(AND($G$16&lt;&gt;"",ROUND($G$16/1000,0)&lt;&gt;ROUND('1.2 Traffic forecasts'!$I$222,0)),", 2023","")&amp;IF(AND($H$16&lt;&gt;"",ROUND($H$16/1000,0)&lt;&gt;ROUND('1.2 Traffic forecasts'!$J$222,0)),", 2024","")</f>
        <v>#VALUE!</v>
      </c>
    </row>
    <row r="5" spans="1:16">
      <c r="C5" s="227"/>
      <c r="D5" s="227"/>
      <c r="E5" s="227"/>
      <c r="F5" s="247"/>
      <c r="G5" s="247"/>
      <c r="H5" s="247"/>
      <c r="I5" s="247"/>
      <c r="J5" s="247"/>
    </row>
    <row r="6" spans="1:16" ht="15.75">
      <c r="C6" s="84" t="str">
        <f>"Terminal Charging Zone #6 - " &amp; IF('1.1 The situation'!$C$95="","",'1.1 The situation'!$C$95)</f>
        <v xml:space="preserve">Terminal Charging Zone #6 -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forecasts'!$C$201&lt;&gt;"Local Forecast",
IF(SUMPRODUCT((ROUND($F$16:$H$16/1000,0)&lt;&gt;ROUND('1.2 Traffic forecasts'!$H$216:$J$216,0))*($F$16:$H$16&lt;&gt;""))+(ROUND(SUM('1.2 Traffic forecasts'!$F$216:$G$216),0)&lt;&gt;ROUND($E$16/1000,0))*1&lt;&gt;0,"Attention: the TSUs provided below for this CZ do not correspond the figures provided in Section '1.2 Traffic forecasts'"&amp;IF($O$4&lt;&gt;""," for the year(s) "&amp;MID($O$4,3,LEN($O$4)-2),""),""),
IF(SUMPRODUCT((ROUND($F$16:$H$16/1000,0)&lt;&gt;ROUND('1.2 Traffic forecasts'!$H$222:$J$222,0))*($F$16:$H$16&lt;&gt;""))+(ROUND(SUM('1.2 Traffic forecasts'!$F$222:$G$222),0)&lt;&gt;ROUND($E$16/1000,0))*1&lt;&gt;0,"Attention: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63" priority="20">
      <formula>$A$2="PRINT"</formula>
    </cfRule>
  </conditionalFormatting>
  <conditionalFormatting sqref="I38">
    <cfRule type="expression" dxfId="262" priority="22">
      <formula>$A$2="PRINT"</formula>
    </cfRule>
  </conditionalFormatting>
  <conditionalFormatting sqref="E41">
    <cfRule type="expression" dxfId="261" priority="21">
      <formula>$A$2="PRINT"</formula>
    </cfRule>
  </conditionalFormatting>
  <conditionalFormatting sqref="F46">
    <cfRule type="expression" dxfId="260" priority="18">
      <formula>$A$2="PRINT"</formula>
    </cfRule>
  </conditionalFormatting>
  <conditionalFormatting sqref="E46">
    <cfRule type="expression" dxfId="259" priority="19">
      <formula>$A$2="PRINT"</formula>
    </cfRule>
  </conditionalFormatting>
  <conditionalFormatting sqref="F51">
    <cfRule type="expression" dxfId="258" priority="16">
      <formula>$A$2="PRINT"</formula>
    </cfRule>
  </conditionalFormatting>
  <conditionalFormatting sqref="E51">
    <cfRule type="expression" dxfId="257" priority="17">
      <formula>$A$2="PRINT"</formula>
    </cfRule>
  </conditionalFormatting>
  <conditionalFormatting sqref="F56">
    <cfRule type="expression" dxfId="256" priority="14">
      <formula>$A$2="PRINT"</formula>
    </cfRule>
  </conditionalFormatting>
  <conditionalFormatting sqref="E56">
    <cfRule type="expression" dxfId="255" priority="15">
      <formula>$A$2="PRINT"</formula>
    </cfRule>
  </conditionalFormatting>
  <conditionalFormatting sqref="F61">
    <cfRule type="expression" dxfId="254" priority="12">
      <formula>$A$2="PRINT"</formula>
    </cfRule>
  </conditionalFormatting>
  <conditionalFormatting sqref="E61">
    <cfRule type="expression" dxfId="253" priority="13">
      <formula>$A$2="PRINT"</formula>
    </cfRule>
  </conditionalFormatting>
  <conditionalFormatting sqref="F66">
    <cfRule type="expression" dxfId="252" priority="10">
      <formula>$A$2="PRINT"</formula>
    </cfRule>
  </conditionalFormatting>
  <conditionalFormatting sqref="E66">
    <cfRule type="expression" dxfId="251" priority="11">
      <formula>$A$2="PRINT"</formula>
    </cfRule>
  </conditionalFormatting>
  <conditionalFormatting sqref="F71">
    <cfRule type="expression" dxfId="250" priority="8">
      <formula>$A$2="PRINT"</formula>
    </cfRule>
  </conditionalFormatting>
  <conditionalFormatting sqref="E71">
    <cfRule type="expression" dxfId="249" priority="9">
      <formula>$A$2="PRINT"</formula>
    </cfRule>
  </conditionalFormatting>
  <conditionalFormatting sqref="F76">
    <cfRule type="expression" dxfId="248" priority="6">
      <formula>$A$2="PRINT"</formula>
    </cfRule>
  </conditionalFormatting>
  <conditionalFormatting sqref="E76">
    <cfRule type="expression" dxfId="247" priority="7">
      <formula>$A$2="PRINT"</formula>
    </cfRule>
  </conditionalFormatting>
  <conditionalFormatting sqref="F81">
    <cfRule type="expression" dxfId="246" priority="4">
      <formula>$A$2="PRINT"</formula>
    </cfRule>
  </conditionalFormatting>
  <conditionalFormatting sqref="E81">
    <cfRule type="expression" dxfId="245" priority="5">
      <formula>$A$2="PRINT"</formula>
    </cfRule>
  </conditionalFormatting>
  <conditionalFormatting sqref="F86">
    <cfRule type="expression" dxfId="244" priority="2">
      <formula>$A$2="PRINT"</formula>
    </cfRule>
  </conditionalFormatting>
  <conditionalFormatting sqref="E86">
    <cfRule type="expression" dxfId="243" priority="3">
      <formula>$A$2="PRINT"</formula>
    </cfRule>
  </conditionalFormatting>
  <conditionalFormatting sqref="D96">
    <cfRule type="expression" dxfId="242" priority="1">
      <formula>$A$2="PRINT"</formula>
    </cfRule>
  </conditionalFormatting>
  <dataValidations count="4">
    <dataValidation type="list" allowBlank="1" showInputMessage="1" showErrorMessage="1" sqref="I38:J38" xr:uid="{00000000-0002-0000-2A00-000000000000}">
      <formula1>" Click to select,0,1,2,3,4,5,6,7,8,9,10"</formula1>
    </dataValidation>
    <dataValidation type="list" allowBlank="1" showInputMessage="1" showErrorMessage="1" sqref="F41 F46 F81 F51 F56 F61 F66 F71 F76 F86" xr:uid="{00000000-0002-0000-2A00-000001000000}">
      <formula1>" Click to select,Staff,Other operating,Depreciation,Cost of capital,Exceptional items"</formula1>
    </dataValidation>
    <dataValidation type="list" allowBlank="1" showInputMessage="1" showErrorMessage="1" sqref="E41 E46 E81 E51 E56 E61 E66 E71 E76 E86" xr:uid="{00000000-0002-0000-2A00-000002000000}">
      <formula1>" Click to select,ANSP,MET,NSA/EUROCONTROL"</formula1>
    </dataValidation>
    <dataValidation type="list" allowBlank="1" showInputMessage="1" showErrorMessage="1" sqref="D96" xr:uid="{00000000-0002-0000-2A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1">
    <tabColor theme="2" tint="-0.249977111117893"/>
    <pageSetUpPr fitToPage="1"/>
  </sheetPr>
  <dimension ref="A2:P115"/>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forecasts'!$F$236+'1.2 Traffic forecasts'!$G$236,0)),", 2020/2021","")&amp;IF(AND($F$16&lt;&gt;"",ROUND($F$16/1000,0)&lt;&gt;ROUND('1.2 Traffic forecasts'!$H$236,0)),", 2022","")&amp;IF(AND($G$16&lt;&gt;"",ROUND($G$16/1000,0)&lt;&gt;ROUND('1.2 Traffic forecasts'!$I$236,0)),", 2023","")&amp;IF(AND($H$16&lt;&gt;"",ROUND($H$16/1000,0)&lt;&gt;ROUND('1.2 Traffic forecasts'!$J$236,0)),", 2024","")</f>
        <v>#VALUE!</v>
      </c>
      <c r="P4" s="448" t="e">
        <f>IF(AND($E$16&lt;&gt;"",ROUND($E$16/1000,0)&lt;&gt;ROUND('1.2 Traffic forecasts'!$F$242+'1.2 Traffic forecasts'!$G$242,0)),", 2020/2021","")&amp;IF(AND($F$16&lt;&gt;"",ROUND($F$16/1000,0)&lt;&gt;ROUND('1.2 Traffic forecasts'!$H$242,0)),", 2022","")&amp;IF(AND($G$16&lt;&gt;"",ROUND($G$16/1000,0)&lt;&gt;ROUND('1.2 Traffic forecasts'!$I$242,0)),", 2023","")&amp;IF(AND($H$16&lt;&gt;"",ROUND($H$16/1000,0)&lt;&gt;ROUND('1.2 Traffic forecasts'!$J$242,0)),", 2024","")</f>
        <v>#VALUE!</v>
      </c>
    </row>
    <row r="5" spans="1:16">
      <c r="C5" s="227"/>
      <c r="D5" s="227"/>
      <c r="E5" s="227"/>
      <c r="F5" s="247"/>
      <c r="G5" s="247"/>
      <c r="H5" s="247"/>
      <c r="I5" s="247"/>
      <c r="J5" s="247"/>
    </row>
    <row r="6" spans="1:16" ht="15.75">
      <c r="C6" s="84" t="str">
        <f>"Terminal Charging Zone #7 - " &amp; IF('1.1 The situation'!$C$96="","",'1.1 The situation'!$C$96)</f>
        <v xml:space="preserve">Terminal Charging Zone #7 -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forecasts'!$C$221&lt;&gt;"Local Forecast",
IF(SUMPRODUCT((ROUND($F$16:$H$16/1000,0)&lt;&gt;ROUND('1.2 Traffic forecasts'!$H$236:$J$236,0))*($F$16:$H$16&lt;&gt;""))+(ROUND(SUM('1.2 Traffic forecasts'!$F$236:$G$236),0)&lt;&gt;ROUND($E$16/1000,0))*1&lt;&gt;0,"Attention: the TSUs provided below for this CZ do not correspond the figures provided in Section '1.2 Traffic forecasts'"&amp;IF($O$4&lt;&gt;""," for the year(s) "&amp;MID($O$4,3,LEN($O$4)-2),""),""),
IF(SUMPRODUCT((ROUND($F$16:$H$16/1000,0)&lt;&gt;ROUND('1.2 Traffic forecasts'!$H$242:$J$242,0))*($F$16:$H$16&lt;&gt;""))+(ROUND(SUM('1.2 Traffic forecasts'!$F$242:$G$242),0)&lt;&gt;ROUND($E$16/1000,0))*1&lt;&gt;0,"Attention: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41" priority="20">
      <formula>$A$2="PRINT"</formula>
    </cfRule>
  </conditionalFormatting>
  <conditionalFormatting sqref="I38">
    <cfRule type="expression" dxfId="240" priority="22">
      <formula>$A$2="PRINT"</formula>
    </cfRule>
  </conditionalFormatting>
  <conditionalFormatting sqref="E41">
    <cfRule type="expression" dxfId="239" priority="21">
      <formula>$A$2="PRINT"</formula>
    </cfRule>
  </conditionalFormatting>
  <conditionalFormatting sqref="F46">
    <cfRule type="expression" dxfId="238" priority="18">
      <formula>$A$2="PRINT"</formula>
    </cfRule>
  </conditionalFormatting>
  <conditionalFormatting sqref="E46">
    <cfRule type="expression" dxfId="237" priority="19">
      <formula>$A$2="PRINT"</formula>
    </cfRule>
  </conditionalFormatting>
  <conditionalFormatting sqref="F51">
    <cfRule type="expression" dxfId="236" priority="16">
      <formula>$A$2="PRINT"</formula>
    </cfRule>
  </conditionalFormatting>
  <conditionalFormatting sqref="E51">
    <cfRule type="expression" dxfId="235" priority="17">
      <formula>$A$2="PRINT"</formula>
    </cfRule>
  </conditionalFormatting>
  <conditionalFormatting sqref="F56">
    <cfRule type="expression" dxfId="234" priority="14">
      <formula>$A$2="PRINT"</formula>
    </cfRule>
  </conditionalFormatting>
  <conditionalFormatting sqref="E56">
    <cfRule type="expression" dxfId="233" priority="15">
      <formula>$A$2="PRINT"</formula>
    </cfRule>
  </conditionalFormatting>
  <conditionalFormatting sqref="F61">
    <cfRule type="expression" dxfId="232" priority="12">
      <formula>$A$2="PRINT"</formula>
    </cfRule>
  </conditionalFormatting>
  <conditionalFormatting sqref="E61">
    <cfRule type="expression" dxfId="231" priority="13">
      <formula>$A$2="PRINT"</formula>
    </cfRule>
  </conditionalFormatting>
  <conditionalFormatting sqref="F66">
    <cfRule type="expression" dxfId="230" priority="10">
      <formula>$A$2="PRINT"</formula>
    </cfRule>
  </conditionalFormatting>
  <conditionalFormatting sqref="E66">
    <cfRule type="expression" dxfId="229" priority="11">
      <formula>$A$2="PRINT"</formula>
    </cfRule>
  </conditionalFormatting>
  <conditionalFormatting sqref="F71">
    <cfRule type="expression" dxfId="228" priority="8">
      <formula>$A$2="PRINT"</formula>
    </cfRule>
  </conditionalFormatting>
  <conditionalFormatting sqref="E71">
    <cfRule type="expression" dxfId="227" priority="9">
      <formula>$A$2="PRINT"</formula>
    </cfRule>
  </conditionalFormatting>
  <conditionalFormatting sqref="F76">
    <cfRule type="expression" dxfId="226" priority="6">
      <formula>$A$2="PRINT"</formula>
    </cfRule>
  </conditionalFormatting>
  <conditionalFormatting sqref="E76">
    <cfRule type="expression" dxfId="225" priority="7">
      <formula>$A$2="PRINT"</formula>
    </cfRule>
  </conditionalFormatting>
  <conditionalFormatting sqref="F81">
    <cfRule type="expression" dxfId="224" priority="4">
      <formula>$A$2="PRINT"</formula>
    </cfRule>
  </conditionalFormatting>
  <conditionalFormatting sqref="E81">
    <cfRule type="expression" dxfId="223" priority="5">
      <formula>$A$2="PRINT"</formula>
    </cfRule>
  </conditionalFormatting>
  <conditionalFormatting sqref="F86">
    <cfRule type="expression" dxfId="222" priority="2">
      <formula>$A$2="PRINT"</formula>
    </cfRule>
  </conditionalFormatting>
  <conditionalFormatting sqref="E86">
    <cfRule type="expression" dxfId="221" priority="3">
      <formula>$A$2="PRINT"</formula>
    </cfRule>
  </conditionalFormatting>
  <conditionalFormatting sqref="D96">
    <cfRule type="expression" dxfId="220" priority="1">
      <formula>$A$2="PRINT"</formula>
    </cfRule>
  </conditionalFormatting>
  <dataValidations count="4">
    <dataValidation type="list" allowBlank="1" showInputMessage="1" showErrorMessage="1" sqref="D96" xr:uid="{00000000-0002-0000-2B00-000000000000}">
      <formula1>" Click to select,Yes,No"</formula1>
    </dataValidation>
    <dataValidation type="list" allowBlank="1" showInputMessage="1" showErrorMessage="1" sqref="E41 E46 E81 E51 E56 E61 E66 E71 E76 E86" xr:uid="{00000000-0002-0000-2B00-000001000000}">
      <formula1>" Click to select,ANSP,MET,NSA/EUROCONTROL"</formula1>
    </dataValidation>
    <dataValidation type="list" allowBlank="1" showInputMessage="1" showErrorMessage="1" sqref="F41 F46 F81 F51 F56 F61 F66 F71 F76 F86" xr:uid="{00000000-0002-0000-2B00-000002000000}">
      <formula1>" Click to select,Staff,Other operating,Depreciation,Cost of capital,Exceptional items"</formula1>
    </dataValidation>
    <dataValidation type="list" allowBlank="1" showInputMessage="1" showErrorMessage="1" sqref="I38:J38" xr:uid="{00000000-0002-0000-2B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13">
    <tabColor theme="2" tint="-0.249977111117893"/>
    <pageSetUpPr fitToPage="1"/>
  </sheetPr>
  <dimension ref="A2:P115"/>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forecasts'!$F$256+'1.2 Traffic forecasts'!$G$256,0)),", 2020/2021","")&amp;IF(AND($F$16&lt;&gt;"",ROUND($F$16/1000,0)&lt;&gt;ROUND('1.2 Traffic forecasts'!$H$256,0)),", 2022","")&amp;IF(AND($G$16&lt;&gt;"",ROUND($G$16/1000,0)&lt;&gt;ROUND('1.2 Traffic forecasts'!$I$256,0)),", 2023","")&amp;IF(AND($H$16&lt;&gt;"",ROUND($H$16/1000,0)&lt;&gt;ROUND('1.2 Traffic forecasts'!$J$256,0)),", 2024","")</f>
        <v>#VALUE!</v>
      </c>
      <c r="P4" s="448" t="e">
        <f>IF(AND($E$16&lt;&gt;"",ROUND($E$16/1000,0)&lt;&gt;ROUND('1.2 Traffic forecasts'!$F$262+'1.2 Traffic forecasts'!$G$262,0)),", 2020/2021","")&amp;IF(AND($F$16&lt;&gt;"",ROUND($F$16/1000,0)&lt;&gt;ROUND('1.2 Traffic forecasts'!$H$262,0)),", 2022","")&amp;IF(AND($G$16&lt;&gt;"",ROUND($G$16/1000,0)&lt;&gt;ROUND('1.2 Traffic forecasts'!$I$262,0)),", 2023","")&amp;IF(AND($H$16&lt;&gt;"",ROUND($H$16/1000,0)&lt;&gt;ROUND('1.2 Traffic forecasts'!$J$262,0)),", 2024","")</f>
        <v>#VALUE!</v>
      </c>
    </row>
    <row r="5" spans="1:16">
      <c r="C5" s="227"/>
      <c r="D5" s="227"/>
      <c r="E5" s="227"/>
      <c r="F5" s="247"/>
      <c r="G5" s="247"/>
      <c r="H5" s="247"/>
      <c r="I5" s="247"/>
      <c r="J5" s="247"/>
    </row>
    <row r="6" spans="1:16" ht="15.75">
      <c r="C6" s="84" t="str">
        <f>"Terminal Charging Zone #8 - " &amp; IF('1.1 The situation'!$C$97="","",'1.1 The situation'!$C$97)</f>
        <v xml:space="preserve">Terminal Charging Zone #8 -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forecasts'!$C$241&lt;&gt;"Local Forecast",
IF(SUMPRODUCT((ROUND($F$16:$H$16/1000,0)&lt;&gt;ROUND('1.2 Traffic forecasts'!$H$256:$J$256,0))*($F$16:$H$16&lt;&gt;""))+(ROUND(SUM('1.2 Traffic forecasts'!$F$256:$G$256),0)&lt;&gt;ROUND($E$16/1000,0))*1&lt;&gt;0,"Attention: the TSUs provided below for this CZ do not correspond the figures provided in Section '1.2 Traffic forecasts'"&amp;IF($O$4&lt;&gt;""," for the year(s) "&amp;MID($O$4,3,LEN($O$4)-2),""),""),
IF(SUMPRODUCT((ROUND($F$16:$H$16/1000,0)&lt;&gt;ROUND('1.2 Traffic forecasts'!$H$262:$J$262,0))*($F$16:$H$16&lt;&gt;""))+(ROUND(SUM('1.2 Traffic forecasts'!$F$262:$G$262),0)&lt;&gt;ROUND($E$16/1000,0))*1&lt;&gt;0,"Attention: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219" priority="20">
      <formula>$A$2="PRINT"</formula>
    </cfRule>
  </conditionalFormatting>
  <conditionalFormatting sqref="I38">
    <cfRule type="expression" dxfId="218" priority="22">
      <formula>$A$2="PRINT"</formula>
    </cfRule>
  </conditionalFormatting>
  <conditionalFormatting sqref="E41">
    <cfRule type="expression" dxfId="217" priority="21">
      <formula>$A$2="PRINT"</formula>
    </cfRule>
  </conditionalFormatting>
  <conditionalFormatting sqref="F46">
    <cfRule type="expression" dxfId="216" priority="18">
      <formula>$A$2="PRINT"</formula>
    </cfRule>
  </conditionalFormatting>
  <conditionalFormatting sqref="E46">
    <cfRule type="expression" dxfId="215" priority="19">
      <formula>$A$2="PRINT"</formula>
    </cfRule>
  </conditionalFormatting>
  <conditionalFormatting sqref="F51">
    <cfRule type="expression" dxfId="214" priority="16">
      <formula>$A$2="PRINT"</formula>
    </cfRule>
  </conditionalFormatting>
  <conditionalFormatting sqref="E51">
    <cfRule type="expression" dxfId="213" priority="17">
      <formula>$A$2="PRINT"</formula>
    </cfRule>
  </conditionalFormatting>
  <conditionalFormatting sqref="F56">
    <cfRule type="expression" dxfId="212" priority="14">
      <formula>$A$2="PRINT"</formula>
    </cfRule>
  </conditionalFormatting>
  <conditionalFormatting sqref="E56">
    <cfRule type="expression" dxfId="211" priority="15">
      <formula>$A$2="PRINT"</formula>
    </cfRule>
  </conditionalFormatting>
  <conditionalFormatting sqref="F61">
    <cfRule type="expression" dxfId="210" priority="12">
      <formula>$A$2="PRINT"</formula>
    </cfRule>
  </conditionalFormatting>
  <conditionalFormatting sqref="E61">
    <cfRule type="expression" dxfId="209" priority="13">
      <formula>$A$2="PRINT"</formula>
    </cfRule>
  </conditionalFormatting>
  <conditionalFormatting sqref="F66">
    <cfRule type="expression" dxfId="208" priority="10">
      <formula>$A$2="PRINT"</formula>
    </cfRule>
  </conditionalFormatting>
  <conditionalFormatting sqref="E66">
    <cfRule type="expression" dxfId="207" priority="11">
      <formula>$A$2="PRINT"</formula>
    </cfRule>
  </conditionalFormatting>
  <conditionalFormatting sqref="F71">
    <cfRule type="expression" dxfId="206" priority="8">
      <formula>$A$2="PRINT"</formula>
    </cfRule>
  </conditionalFormatting>
  <conditionalFormatting sqref="E71">
    <cfRule type="expression" dxfId="205" priority="9">
      <formula>$A$2="PRINT"</formula>
    </cfRule>
  </conditionalFormatting>
  <conditionalFormatting sqref="F76">
    <cfRule type="expression" dxfId="204" priority="6">
      <formula>$A$2="PRINT"</formula>
    </cfRule>
  </conditionalFormatting>
  <conditionalFormatting sqref="E76">
    <cfRule type="expression" dxfId="203" priority="7">
      <formula>$A$2="PRINT"</formula>
    </cfRule>
  </conditionalFormatting>
  <conditionalFormatting sqref="F81">
    <cfRule type="expression" dxfId="202" priority="4">
      <formula>$A$2="PRINT"</formula>
    </cfRule>
  </conditionalFormatting>
  <conditionalFormatting sqref="E81">
    <cfRule type="expression" dxfId="201" priority="5">
      <formula>$A$2="PRINT"</formula>
    </cfRule>
  </conditionalFormatting>
  <conditionalFormatting sqref="F86">
    <cfRule type="expression" dxfId="200" priority="2">
      <formula>$A$2="PRINT"</formula>
    </cfRule>
  </conditionalFormatting>
  <conditionalFormatting sqref="E86">
    <cfRule type="expression" dxfId="199" priority="3">
      <formula>$A$2="PRINT"</formula>
    </cfRule>
  </conditionalFormatting>
  <conditionalFormatting sqref="D96">
    <cfRule type="expression" dxfId="198" priority="1">
      <formula>$A$2="PRINT"</formula>
    </cfRule>
  </conditionalFormatting>
  <dataValidations count="4">
    <dataValidation type="list" allowBlank="1" showInputMessage="1" showErrorMessage="1" sqref="I38:J38" xr:uid="{00000000-0002-0000-2C00-000000000000}">
      <formula1>" Click to select,0,1,2,3,4,5,6,7,8,9,10"</formula1>
    </dataValidation>
    <dataValidation type="list" allowBlank="1" showInputMessage="1" showErrorMessage="1" sqref="F41 F46 F81 F51 F56 F61 F66 F71 F76 F86" xr:uid="{00000000-0002-0000-2C00-000001000000}">
      <formula1>" Click to select,Staff,Other operating,Depreciation,Cost of capital,Exceptional items"</formula1>
    </dataValidation>
    <dataValidation type="list" allowBlank="1" showInputMessage="1" showErrorMessage="1" sqref="E41 E46 E81 E51 E56 E61 E66 E71 E76 E86" xr:uid="{00000000-0002-0000-2C00-000002000000}">
      <formula1>" Click to select,ANSP,MET,NSA/EUROCONTROL"</formula1>
    </dataValidation>
    <dataValidation type="list" allowBlank="1" showInputMessage="1" showErrorMessage="1" sqref="D96" xr:uid="{00000000-0002-0000-2C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4">
    <tabColor theme="2" tint="-0.249977111117893"/>
    <pageSetUpPr fitToPage="1"/>
  </sheetPr>
  <dimension ref="A2:P115"/>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forecasts'!$F$276+'1.2 Traffic forecasts'!$G$276,0)),", 2020/2021","")&amp;IF(AND($F$16&lt;&gt;"",ROUND($F$16/1000,0)&lt;&gt;ROUND('1.2 Traffic forecasts'!$H$276,0)),", 2022","")&amp;IF(AND($G$16&lt;&gt;"",ROUND($G$16/1000,0)&lt;&gt;ROUND('1.2 Traffic forecasts'!$I$276,0)),", 2023","")&amp;IF(AND($H$16&lt;&gt;"",ROUND($H$16/1000,0)&lt;&gt;ROUND('1.2 Traffic forecasts'!$J$276,0)),", 2024","")</f>
        <v>#VALUE!</v>
      </c>
      <c r="P4" s="448" t="e">
        <f>IF(AND($E$16&lt;&gt;"",ROUND($E$16/1000,0)&lt;&gt;ROUND('1.2 Traffic forecasts'!$F$282+'1.2 Traffic forecasts'!$G$282,0)),", 2020/2021","")&amp;IF(AND($F$16&lt;&gt;"",ROUND($F$16/1000,0)&lt;&gt;ROUND('1.2 Traffic forecasts'!$H$282,0)),", 2022","")&amp;IF(AND($G$16&lt;&gt;"",ROUND($G$16/1000,0)&lt;&gt;ROUND('1.2 Traffic forecasts'!$I$282,0)),", 2023","")&amp;IF(AND($H$16&lt;&gt;"",ROUND($H$16/1000,0)&lt;&gt;ROUND('1.2 Traffic forecasts'!$J$282,0)),", 2024","")</f>
        <v>#VALUE!</v>
      </c>
    </row>
    <row r="5" spans="1:16">
      <c r="C5" s="227"/>
      <c r="D5" s="227"/>
      <c r="E5" s="227"/>
      <c r="F5" s="247"/>
      <c r="G5" s="247"/>
      <c r="H5" s="247"/>
      <c r="I5" s="247"/>
      <c r="J5" s="247"/>
    </row>
    <row r="6" spans="1:16" ht="15.75">
      <c r="C6" s="84" t="str">
        <f>"Terminal Charging Zone #9 - " &amp; IF('1.1 The situation'!$C$98="","",'1.1 The situation'!$C$98)</f>
        <v xml:space="preserve">Terminal Charging Zone #9 -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forecasts'!$C$261&lt;&gt;"Local Forecast",
IF(SUMPRODUCT((ROUND($F$16:$H$16/1000,0)&lt;&gt;ROUND('1.2 Traffic forecasts'!$H$276:$J$276,0))*($F$16:$H$16&lt;&gt;""))+(ROUND(SUM('1.2 Traffic forecasts'!$F$276:$G$276),0)&lt;&gt;ROUND($E$16/1000,0))*1&lt;&gt;0,"Attention: the TSUs provided below for this CZ do not correspond the figures provided in Section '1.2 Traffic forecasts'"&amp;IF($O$4&lt;&gt;""," for the year(s) "&amp;MID($O$4,3,LEN($O$4)-2),""),""),
IF(SUMPRODUCT((ROUND($F$16:$H$16/1000,0)&lt;&gt;ROUND('1.2 Traffic forecasts'!$H$282:$J$282,0))*($F$16:$H$16&lt;&gt;""))+(ROUND(SUM('1.2 Traffic forecasts'!$F$282:$G$282),0)&lt;&gt;ROUND($E$16/1000,0))*1&lt;&gt;0,"Attention: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197" priority="20">
      <formula>$A$2="PRINT"</formula>
    </cfRule>
  </conditionalFormatting>
  <conditionalFormatting sqref="I38">
    <cfRule type="expression" dxfId="196" priority="22">
      <formula>$A$2="PRINT"</formula>
    </cfRule>
  </conditionalFormatting>
  <conditionalFormatting sqref="E41">
    <cfRule type="expression" dxfId="195" priority="21">
      <formula>$A$2="PRINT"</formula>
    </cfRule>
  </conditionalFormatting>
  <conditionalFormatting sqref="F46">
    <cfRule type="expression" dxfId="194" priority="18">
      <formula>$A$2="PRINT"</formula>
    </cfRule>
  </conditionalFormatting>
  <conditionalFormatting sqref="E46">
    <cfRule type="expression" dxfId="193" priority="19">
      <formula>$A$2="PRINT"</formula>
    </cfRule>
  </conditionalFormatting>
  <conditionalFormatting sqref="F51">
    <cfRule type="expression" dxfId="192" priority="16">
      <formula>$A$2="PRINT"</formula>
    </cfRule>
  </conditionalFormatting>
  <conditionalFormatting sqref="E51">
    <cfRule type="expression" dxfId="191" priority="17">
      <formula>$A$2="PRINT"</formula>
    </cfRule>
  </conditionalFormatting>
  <conditionalFormatting sqref="F56">
    <cfRule type="expression" dxfId="190" priority="14">
      <formula>$A$2="PRINT"</formula>
    </cfRule>
  </conditionalFormatting>
  <conditionalFormatting sqref="E56">
    <cfRule type="expression" dxfId="189" priority="15">
      <formula>$A$2="PRINT"</formula>
    </cfRule>
  </conditionalFormatting>
  <conditionalFormatting sqref="F61">
    <cfRule type="expression" dxfId="188" priority="12">
      <formula>$A$2="PRINT"</formula>
    </cfRule>
  </conditionalFormatting>
  <conditionalFormatting sqref="E61">
    <cfRule type="expression" dxfId="187" priority="13">
      <formula>$A$2="PRINT"</formula>
    </cfRule>
  </conditionalFormatting>
  <conditionalFormatting sqref="F66">
    <cfRule type="expression" dxfId="186" priority="10">
      <formula>$A$2="PRINT"</formula>
    </cfRule>
  </conditionalFormatting>
  <conditionalFormatting sqref="E66">
    <cfRule type="expression" dxfId="185" priority="11">
      <formula>$A$2="PRINT"</formula>
    </cfRule>
  </conditionalFormatting>
  <conditionalFormatting sqref="F71">
    <cfRule type="expression" dxfId="184" priority="8">
      <formula>$A$2="PRINT"</formula>
    </cfRule>
  </conditionalFormatting>
  <conditionalFormatting sqref="E71">
    <cfRule type="expression" dxfId="183" priority="9">
      <formula>$A$2="PRINT"</formula>
    </cfRule>
  </conditionalFormatting>
  <conditionalFormatting sqref="F76">
    <cfRule type="expression" dxfId="182" priority="6">
      <formula>$A$2="PRINT"</formula>
    </cfRule>
  </conditionalFormatting>
  <conditionalFormatting sqref="E76">
    <cfRule type="expression" dxfId="181" priority="7">
      <formula>$A$2="PRINT"</formula>
    </cfRule>
  </conditionalFormatting>
  <conditionalFormatting sqref="F81">
    <cfRule type="expression" dxfId="180" priority="4">
      <formula>$A$2="PRINT"</formula>
    </cfRule>
  </conditionalFormatting>
  <conditionalFormatting sqref="E81">
    <cfRule type="expression" dxfId="179" priority="5">
      <formula>$A$2="PRINT"</formula>
    </cfRule>
  </conditionalFormatting>
  <conditionalFormatting sqref="F86">
    <cfRule type="expression" dxfId="178" priority="2">
      <formula>$A$2="PRINT"</formula>
    </cfRule>
  </conditionalFormatting>
  <conditionalFormatting sqref="E86">
    <cfRule type="expression" dxfId="177" priority="3">
      <formula>$A$2="PRINT"</formula>
    </cfRule>
  </conditionalFormatting>
  <conditionalFormatting sqref="D96">
    <cfRule type="expression" dxfId="176" priority="1">
      <formula>$A$2="PRINT"</formula>
    </cfRule>
  </conditionalFormatting>
  <dataValidations count="4">
    <dataValidation type="list" allowBlank="1" showInputMessage="1" showErrorMessage="1" sqref="D96" xr:uid="{00000000-0002-0000-2D00-000000000000}">
      <formula1>" Click to select,Yes,No"</formula1>
    </dataValidation>
    <dataValidation type="list" allowBlank="1" showInputMessage="1" showErrorMessage="1" sqref="E41 E46 E81 E51 E56 E61 E66 E71 E76 E86" xr:uid="{00000000-0002-0000-2D00-000001000000}">
      <formula1>" Click to select,ANSP,MET,NSA/EUROCONTROL"</formula1>
    </dataValidation>
    <dataValidation type="list" allowBlank="1" showInputMessage="1" showErrorMessage="1" sqref="F41 F46 F81 F51 F56 F61 F66 F71 F76 F86" xr:uid="{00000000-0002-0000-2D00-000002000000}">
      <formula1>" Click to select,Staff,Other operating,Depreciation,Cost of capital,Exceptional items"</formula1>
    </dataValidation>
    <dataValidation type="list" allowBlank="1" showInputMessage="1" showErrorMessage="1" sqref="I38:J38" xr:uid="{00000000-0002-0000-2D00-000003000000}">
      <formula1>" Click to select,0,1,2,3,4,5,6,7,8,9,10"</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15">
    <tabColor theme="2" tint="-0.249977111117893"/>
    <pageSetUpPr fitToPage="1"/>
  </sheetPr>
  <dimension ref="A2:P115"/>
  <sheetViews>
    <sheetView showGridLines="0" zoomScale="85" zoomScaleNormal="85" workbookViewId="0">
      <selection activeCell="B2" sqref="B2"/>
    </sheetView>
  </sheetViews>
  <sheetFormatPr defaultColWidth="9.140625" defaultRowHeight="15"/>
  <cols>
    <col min="1" max="1" width="6.5703125" customWidth="1"/>
    <col min="2" max="2" width="1.5703125" customWidth="1"/>
    <col min="3" max="3" width="61.7109375" customWidth="1"/>
    <col min="4" max="8" width="16.28515625" customWidth="1"/>
    <col min="9" max="9" width="1.28515625" customWidth="1"/>
    <col min="10" max="10" width="14" customWidth="1"/>
    <col min="11" max="11" width="1.42578125" customWidth="1"/>
  </cols>
  <sheetData>
    <row r="2" spans="1:16" hidden="1">
      <c r="C2" s="86"/>
    </row>
    <row r="3" spans="1:16" hidden="1">
      <c r="A3" s="107"/>
      <c r="C3" s="86"/>
    </row>
    <row r="4" spans="1:16" ht="18" thickBot="1">
      <c r="C4" s="32" t="s">
        <v>1062</v>
      </c>
      <c r="D4" s="32"/>
      <c r="E4" s="32"/>
      <c r="F4" s="32"/>
      <c r="G4" s="32"/>
      <c r="H4" s="32"/>
      <c r="I4" s="32"/>
      <c r="J4" s="32"/>
      <c r="M4" s="443" t="str">
        <f>MID($C$6,FIND(" -",$C$6)+3,LEN($C$6)-FIND(" -",$C$6)+1)</f>
        <v/>
      </c>
      <c r="N4" s="448"/>
      <c r="O4" s="448" t="e">
        <f ca="1">IF(AND($E$16&lt;&gt;"",ROUND($E$16/1000,0)&lt;&gt;ROUND('1.2 Traffic forecasts'!$F$296+'1.2 Traffic forecasts'!$G$296,0)),", 2020/2021","")&amp;IF(AND($F$16&lt;&gt;"",ROUND($F$16/1000,0)&lt;&gt;ROUND('1.2 Traffic forecasts'!$H$296,0)),", 2022","")&amp;IF(AND($G$16&lt;&gt;"",ROUND($G$16/1000,0)&lt;&gt;ROUND('1.2 Traffic forecasts'!$I$296,0)),", 2023","")&amp;IF(AND($H$16&lt;&gt;"",ROUND($H$16/1000,0)&lt;&gt;ROUND('1.2 Traffic forecasts'!$J$296,0)),", 2024","")</f>
        <v>#VALUE!</v>
      </c>
      <c r="P4" s="448" t="e">
        <f>IF(AND($E$16&lt;&gt;"",ROUND($E$16/1000,0)&lt;&gt;ROUND('1.2 Traffic forecasts'!$F$302+'1.2 Traffic forecasts'!$G$302,0)),", 2020/2021","")&amp;IF(AND($F$16&lt;&gt;"",ROUND($F$16/1000,0)&lt;&gt;ROUND('1.2 Traffic forecasts'!$H$302,0)),", 2022","")&amp;IF(AND($G$16&lt;&gt;"",ROUND($G$16/1000,0)&lt;&gt;ROUND('1.2 Traffic forecasts'!$I$302,0)),", 2023","")&amp;IF(AND($H$16&lt;&gt;"",ROUND($H$16/1000,0)&lt;&gt;ROUND('1.2 Traffic forecasts'!$J$302,0)),", 2024","")</f>
        <v>#VALUE!</v>
      </c>
    </row>
    <row r="5" spans="1:16">
      <c r="C5" s="227"/>
      <c r="D5" s="227"/>
      <c r="E5" s="227"/>
      <c r="F5" s="247"/>
      <c r="G5" s="247"/>
      <c r="H5" s="247"/>
      <c r="I5" s="247"/>
      <c r="J5" s="247"/>
    </row>
    <row r="6" spans="1:16" ht="15.75">
      <c r="C6" s="84" t="str">
        <f>"Terminal Charging Zone #10 - " &amp; IF('1.1 The situation'!$C$99="","",'1.1 The situation'!$C$99)</f>
        <v xml:space="preserve">Terminal Charging Zone #10 - </v>
      </c>
      <c r="D6" s="84"/>
      <c r="E6" s="84"/>
    </row>
    <row r="7" spans="1:16">
      <c r="B7" s="85"/>
    </row>
    <row r="8" spans="1:16">
      <c r="B8" s="85"/>
      <c r="C8" s="76" t="s">
        <v>1643</v>
      </c>
      <c r="D8" s="114"/>
      <c r="E8" s="115"/>
      <c r="F8" s="115"/>
      <c r="G8" s="115"/>
      <c r="H8" s="115"/>
      <c r="I8" s="115"/>
    </row>
    <row r="9" spans="1:16" ht="15" customHeight="1">
      <c r="B9" s="85"/>
    </row>
    <row r="10" spans="1:16">
      <c r="B10" s="85"/>
      <c r="C10" s="251" t="s">
        <v>1063</v>
      </c>
      <c r="D10" s="351" t="s">
        <v>1060</v>
      </c>
      <c r="E10" s="418" t="s">
        <v>1690</v>
      </c>
      <c r="F10" s="418"/>
      <c r="G10" s="418"/>
      <c r="H10" s="418"/>
      <c r="I10" s="252"/>
      <c r="J10" s="419" t="s">
        <v>713</v>
      </c>
      <c r="K10" s="182"/>
    </row>
    <row r="11" spans="1:16">
      <c r="B11" s="85"/>
      <c r="C11" s="254" t="s">
        <v>1070</v>
      </c>
      <c r="D11" s="251" t="s">
        <v>710</v>
      </c>
      <c r="E11" s="251" t="s">
        <v>1562</v>
      </c>
      <c r="F11" s="251" t="s">
        <v>711</v>
      </c>
      <c r="G11" s="251" t="s">
        <v>712</v>
      </c>
      <c r="H11" s="251" t="s">
        <v>713</v>
      </c>
      <c r="I11" s="252"/>
      <c r="J11" s="421" t="s">
        <v>1561</v>
      </c>
      <c r="K11" s="182"/>
    </row>
    <row r="12" spans="1:16">
      <c r="B12" s="85"/>
      <c r="C12" s="256" t="s">
        <v>1071</v>
      </c>
      <c r="D12" s="260"/>
      <c r="E12" s="248"/>
      <c r="F12" s="248"/>
      <c r="G12" s="248"/>
      <c r="H12" s="248"/>
      <c r="I12" s="252"/>
      <c r="J12" s="262"/>
      <c r="K12" s="182"/>
    </row>
    <row r="13" spans="1:16" ht="15" customHeight="1">
      <c r="B13" s="85"/>
      <c r="C13" s="259" t="s">
        <v>1072</v>
      </c>
      <c r="D13" s="260"/>
      <c r="E13" s="261"/>
      <c r="F13" s="261"/>
      <c r="G13" s="261"/>
      <c r="H13" s="261"/>
      <c r="I13" s="252"/>
      <c r="J13" s="262"/>
      <c r="K13" s="182"/>
    </row>
    <row r="14" spans="1:16" ht="15" customHeight="1">
      <c r="B14" s="85"/>
      <c r="C14" s="422" t="s">
        <v>1644</v>
      </c>
      <c r="D14" s="260"/>
      <c r="E14" s="261"/>
      <c r="F14" s="261"/>
      <c r="G14" s="261"/>
      <c r="H14" s="261"/>
      <c r="I14" s="252"/>
      <c r="J14" s="262"/>
      <c r="K14" s="182"/>
    </row>
    <row r="15" spans="1:16">
      <c r="B15" s="85"/>
      <c r="C15" s="256" t="s">
        <v>714</v>
      </c>
      <c r="D15" s="257"/>
      <c r="E15" s="263"/>
      <c r="F15" s="263"/>
      <c r="G15" s="263"/>
      <c r="H15" s="263"/>
      <c r="I15" s="252"/>
      <c r="J15" s="257"/>
      <c r="K15" s="182"/>
    </row>
    <row r="16" spans="1:16">
      <c r="B16" s="85"/>
      <c r="C16" s="256" t="s">
        <v>1073</v>
      </c>
      <c r="D16" s="264"/>
      <c r="E16" s="248"/>
      <c r="F16" s="248"/>
      <c r="G16" s="248"/>
      <c r="H16" s="248"/>
      <c r="I16" s="252">
        <v>967.98762360000001</v>
      </c>
      <c r="J16" s="258"/>
      <c r="K16" s="182"/>
      <c r="N16" s="462" t="str">
        <f ca="1">IFERROR(IF('1.2 Traffic forecasts'!$C$281&lt;&gt;"Local Forecast",
IF(SUMPRODUCT((ROUND($F$16:$H$16/1000,0)&lt;&gt;ROUND('1.2 Traffic forecasts'!$H$296:$J$296,0))*($F$16:$H$16&lt;&gt;""))+(ROUND(SUM('1.2 Traffic forecasts'!$F$296:$G$296),0)&lt;&gt;ROUND($E$16/1000,0))*1&lt;&gt;0,"Attention: the TSUs provided below for this CZ do not correspond the figures provided in Section '1.2 Traffic forecasts'"&amp;IF($O$4&lt;&gt;""," for the year(s) "&amp;MID($O$4,3,LEN($O$4)-2),""),""),
IF(SUMPRODUCT((ROUND($F$16:$H$16/1000,0)&lt;&gt;ROUND('1.2 Traffic forecasts'!$H$302:$J$302,0))*($F$16:$H$16&lt;&gt;""))+(ROUND(SUM('1.2 Traffic forecasts'!$F$302:$G$302),0)&lt;&gt;ROUND($E$16/1000,0))*1&lt;&gt;0,"Attention: the TSUs provided below for this CZ do not correspond the figures provided in Section '1.2 Traffic forecasts'"&amp;IF($P$4&lt;&gt;""," for the year(s) "&amp;MID($P$4,3,LEN($P$4)-2),""),"")),"")</f>
        <v/>
      </c>
    </row>
    <row r="17" spans="2:11">
      <c r="B17" s="85"/>
      <c r="C17" s="256" t="s">
        <v>714</v>
      </c>
      <c r="D17" s="257"/>
      <c r="E17" s="263"/>
      <c r="F17" s="263"/>
      <c r="G17" s="263"/>
      <c r="H17" s="263"/>
      <c r="I17" s="265"/>
      <c r="J17" s="257"/>
      <c r="K17" s="182"/>
    </row>
    <row r="18" spans="2:11">
      <c r="B18" s="85"/>
      <c r="C18" s="249" t="s">
        <v>1074</v>
      </c>
      <c r="D18" s="266"/>
      <c r="E18" s="250"/>
      <c r="F18" s="250"/>
      <c r="G18" s="250"/>
      <c r="H18" s="250"/>
      <c r="I18" s="252"/>
      <c r="J18" s="262"/>
      <c r="K18" s="182"/>
    </row>
    <row r="19" spans="2:11" ht="17.25">
      <c r="B19" s="85"/>
      <c r="C19" s="256" t="s">
        <v>1075</v>
      </c>
      <c r="D19" s="266"/>
      <c r="E19" s="250"/>
      <c r="F19" s="250"/>
      <c r="G19" s="250"/>
      <c r="H19" s="250"/>
      <c r="I19" s="265"/>
      <c r="J19" s="262"/>
      <c r="K19" s="182"/>
    </row>
    <row r="20" spans="2:11">
      <c r="B20" s="85"/>
      <c r="C20" s="256" t="s">
        <v>714</v>
      </c>
      <c r="D20" s="255"/>
      <c r="E20" s="263"/>
      <c r="F20" s="263"/>
      <c r="G20" s="263"/>
      <c r="H20" s="263"/>
      <c r="I20" s="265"/>
      <c r="J20" s="255"/>
      <c r="K20" s="182"/>
    </row>
    <row r="21" spans="2:11">
      <c r="B21" s="85"/>
      <c r="C21" s="267"/>
      <c r="D21" s="116"/>
      <c r="E21" s="152"/>
      <c r="F21" s="152"/>
      <c r="G21" s="152"/>
      <c r="H21" s="152"/>
    </row>
    <row r="22" spans="2:11">
      <c r="B22" s="85"/>
      <c r="C22" s="352" t="s">
        <v>1061</v>
      </c>
      <c r="D22" s="445"/>
    </row>
    <row r="23" spans="2:11" ht="17.25">
      <c r="B23" s="85"/>
      <c r="C23" s="354" t="s">
        <v>1069</v>
      </c>
      <c r="D23" s="446"/>
    </row>
    <row r="24" spans="2:11" ht="8.1" customHeight="1">
      <c r="B24" s="85"/>
    </row>
    <row r="25" spans="2:11" ht="8.1" customHeight="1">
      <c r="B25" s="85"/>
    </row>
    <row r="26" spans="2:11">
      <c r="B26" s="85"/>
      <c r="C26" s="76" t="s">
        <v>1564</v>
      </c>
    </row>
    <row r="27" spans="2:11">
      <c r="B27" s="85"/>
    </row>
    <row r="28" spans="2:11" ht="15" customHeight="1">
      <c r="B28" s="85"/>
      <c r="C28" s="251" t="s">
        <v>1063</v>
      </c>
      <c r="D28" s="351" t="s">
        <v>1060</v>
      </c>
      <c r="E28" s="351" t="s">
        <v>1566</v>
      </c>
      <c r="F28" s="468" t="s">
        <v>1688</v>
      </c>
    </row>
    <row r="29" spans="2:11">
      <c r="B29" s="85"/>
      <c r="C29" s="423" t="s">
        <v>1070</v>
      </c>
      <c r="D29" s="424" t="s">
        <v>710</v>
      </c>
      <c r="E29" s="425" t="s">
        <v>1568</v>
      </c>
      <c r="F29" s="421" t="s">
        <v>1689</v>
      </c>
    </row>
    <row r="30" spans="2:11">
      <c r="B30" s="85"/>
      <c r="C30" s="422" t="s">
        <v>1071</v>
      </c>
      <c r="D30" s="2"/>
      <c r="E30" s="2"/>
      <c r="F30" s="2"/>
    </row>
    <row r="31" spans="2:11" ht="15" customHeight="1">
      <c r="B31" s="85"/>
      <c r="C31" s="426" t="s">
        <v>1072</v>
      </c>
      <c r="D31" s="427"/>
      <c r="E31" s="2"/>
      <c r="F31" s="2"/>
    </row>
    <row r="32" spans="2:11" ht="17.25">
      <c r="B32" s="85"/>
      <c r="C32" s="256" t="s">
        <v>1644</v>
      </c>
      <c r="D32" s="2"/>
      <c r="E32" s="2"/>
      <c r="F32" s="2"/>
    </row>
    <row r="33" spans="2:10">
      <c r="B33" s="85"/>
      <c r="C33" s="422" t="s">
        <v>1073</v>
      </c>
      <c r="D33" s="2"/>
      <c r="E33" s="2"/>
      <c r="F33" s="2"/>
    </row>
    <row r="34" spans="2:10">
      <c r="B34" s="85"/>
    </row>
    <row r="36" spans="2:10">
      <c r="C36" s="76" t="s">
        <v>1592</v>
      </c>
    </row>
    <row r="37" spans="2:10">
      <c r="C37" s="76"/>
    </row>
    <row r="38" spans="2:10">
      <c r="C38" s="444" t="s">
        <v>1645</v>
      </c>
      <c r="G38" s="920" t="s">
        <v>1572</v>
      </c>
      <c r="H38" s="920"/>
      <c r="I38" s="921">
        <v>1</v>
      </c>
      <c r="J38" s="921"/>
    </row>
    <row r="39" spans="2:10">
      <c r="C39" s="76"/>
    </row>
    <row r="40" spans="2:10">
      <c r="C40" s="428" t="s">
        <v>1573</v>
      </c>
      <c r="D40" s="429" t="s">
        <v>259</v>
      </c>
      <c r="E40" s="429" t="s">
        <v>1574</v>
      </c>
      <c r="F40" s="429" t="s">
        <v>1575</v>
      </c>
      <c r="G40" s="429" t="s">
        <v>1576</v>
      </c>
      <c r="H40" s="429" t="s">
        <v>1577</v>
      </c>
      <c r="I40" s="992" t="s">
        <v>1578</v>
      </c>
      <c r="J40" s="992"/>
    </row>
    <row r="41" spans="2:10">
      <c r="C41" s="430" t="s">
        <v>1581</v>
      </c>
      <c r="D41" s="447"/>
      <c r="E41" s="317" t="s">
        <v>240</v>
      </c>
      <c r="F41" s="317" t="s">
        <v>240</v>
      </c>
      <c r="G41" s="2"/>
      <c r="H41" s="442">
        <f>IF(OR(E41="Click to select",F41="Click to select"),0,IF(OR(E41="ANSP",E41="MET"),IF(OR(F41="Staff",F41="Other operating",F41="Exceptional items"),G41/(INDEX(Table_TCZs_RP2_unique[Inflation Index 2019 Actual],MATCH($M$4,Table_TCZs_RP2_unique[TCZ_Name],0))/100),G41),G41))</f>
        <v>0</v>
      </c>
      <c r="I41" s="993">
        <f>IFERROR(H41/$D$23,0)</f>
        <v>0</v>
      </c>
      <c r="J41" s="994"/>
    </row>
    <row r="42" spans="2:10">
      <c r="C42" s="983" t="s">
        <v>1579</v>
      </c>
      <c r="D42" s="984"/>
      <c r="E42" s="984"/>
      <c r="F42" s="984"/>
      <c r="G42" s="984"/>
      <c r="H42" s="984"/>
      <c r="I42" s="984"/>
      <c r="J42" s="985"/>
    </row>
    <row r="43" spans="2:10" ht="30" customHeight="1">
      <c r="C43" s="979" t="s">
        <v>1580</v>
      </c>
      <c r="D43" s="980"/>
      <c r="E43" s="980"/>
      <c r="F43" s="980"/>
      <c r="G43" s="980"/>
      <c r="H43" s="980"/>
      <c r="I43" s="980"/>
      <c r="J43" s="981"/>
    </row>
    <row r="44" spans="2:10">
      <c r="C44" s="76"/>
    </row>
    <row r="45" spans="2:10" hidden="1">
      <c r="C45" s="428" t="s">
        <v>1582</v>
      </c>
      <c r="D45" s="429" t="s">
        <v>259</v>
      </c>
      <c r="E45" s="429" t="s">
        <v>1574</v>
      </c>
      <c r="F45" s="429" t="s">
        <v>1575</v>
      </c>
      <c r="G45" s="429" t="s">
        <v>1576</v>
      </c>
      <c r="H45" s="429" t="s">
        <v>1577</v>
      </c>
      <c r="I45" s="992" t="s">
        <v>1578</v>
      </c>
      <c r="J45" s="992"/>
    </row>
    <row r="46" spans="2:10" hidden="1">
      <c r="C46" s="430" t="s">
        <v>1581</v>
      </c>
      <c r="D46" s="447"/>
      <c r="E46" s="317" t="s">
        <v>240</v>
      </c>
      <c r="F46" s="317" t="s">
        <v>240</v>
      </c>
      <c r="G46" s="2"/>
      <c r="H46" s="442">
        <f>IF(OR(E46="Click to select",F46="Click to select"),0,IF(OR(E46="ANSP",E46="MET"),IF(OR(F46="Staff",F46="Other operating",F46="Exceptional items"),G46/(INDEX(Table_TCZs_RP2_unique[Inflation Index 2019 Actual],MATCH($M$4,Table_TCZs_RP2_unique[TCZ_Name],0))/100),G46),G46))</f>
        <v>0</v>
      </c>
      <c r="I46" s="993">
        <f>IFERROR(H46/$D$23,0)</f>
        <v>0</v>
      </c>
      <c r="J46" s="994"/>
    </row>
    <row r="47" spans="2:10" hidden="1">
      <c r="C47" s="983" t="s">
        <v>1579</v>
      </c>
      <c r="D47" s="984"/>
      <c r="E47" s="984"/>
      <c r="F47" s="984"/>
      <c r="G47" s="984"/>
      <c r="H47" s="984"/>
      <c r="I47" s="984"/>
      <c r="J47" s="985"/>
    </row>
    <row r="48" spans="2:10" ht="30" hidden="1" customHeight="1">
      <c r="C48" s="979" t="s">
        <v>1580</v>
      </c>
      <c r="D48" s="980"/>
      <c r="E48" s="980"/>
      <c r="F48" s="980"/>
      <c r="G48" s="980"/>
      <c r="H48" s="980"/>
      <c r="I48" s="980"/>
      <c r="J48" s="981"/>
    </row>
    <row r="49" spans="3:10" hidden="1">
      <c r="C49" s="76"/>
    </row>
    <row r="50" spans="3:10" hidden="1">
      <c r="C50" s="428" t="s">
        <v>1583</v>
      </c>
      <c r="D50" s="429" t="s">
        <v>259</v>
      </c>
      <c r="E50" s="429" t="s">
        <v>1574</v>
      </c>
      <c r="F50" s="429" t="s">
        <v>1575</v>
      </c>
      <c r="G50" s="429" t="s">
        <v>1576</v>
      </c>
      <c r="H50" s="429" t="s">
        <v>1577</v>
      </c>
      <c r="I50" s="992" t="s">
        <v>1578</v>
      </c>
      <c r="J50" s="992"/>
    </row>
    <row r="51" spans="3:10" hidden="1">
      <c r="C51" s="430" t="s">
        <v>1581</v>
      </c>
      <c r="D51" s="447"/>
      <c r="E51" s="317" t="s">
        <v>240</v>
      </c>
      <c r="F51" s="317" t="s">
        <v>240</v>
      </c>
      <c r="G51" s="2"/>
      <c r="H51" s="442">
        <f>IF(OR(E51="Click to select",F51="Click to select"),0,IF(OR(E51="ANSP",E51="MET"),IF(OR(F51="Staff",F51="Other operating",F51="Exceptional items"),G51/(INDEX(Table_TCZs_RP2_unique[Inflation Index 2019 Actual],MATCH($M$4,Table_TCZs_RP2_unique[TCZ_Name],0))/100),G51),G51))</f>
        <v>0</v>
      </c>
      <c r="I51" s="993">
        <f>IFERROR(H51/$D$23,0)</f>
        <v>0</v>
      </c>
      <c r="J51" s="994"/>
    </row>
    <row r="52" spans="3:10" hidden="1">
      <c r="C52" s="983" t="s">
        <v>1579</v>
      </c>
      <c r="D52" s="984"/>
      <c r="E52" s="984"/>
      <c r="F52" s="984"/>
      <c r="G52" s="984"/>
      <c r="H52" s="984"/>
      <c r="I52" s="984"/>
      <c r="J52" s="985"/>
    </row>
    <row r="53" spans="3:10" ht="30" hidden="1" customHeight="1">
      <c r="C53" s="979" t="s">
        <v>1580</v>
      </c>
      <c r="D53" s="980"/>
      <c r="E53" s="980"/>
      <c r="F53" s="980"/>
      <c r="G53" s="980"/>
      <c r="H53" s="980"/>
      <c r="I53" s="980"/>
      <c r="J53" s="981"/>
    </row>
    <row r="54" spans="3:10" hidden="1">
      <c r="C54" s="76"/>
    </row>
    <row r="55" spans="3:10" hidden="1">
      <c r="C55" s="428" t="s">
        <v>1584</v>
      </c>
      <c r="D55" s="429" t="s">
        <v>259</v>
      </c>
      <c r="E55" s="429" t="s">
        <v>1574</v>
      </c>
      <c r="F55" s="429" t="s">
        <v>1575</v>
      </c>
      <c r="G55" s="429" t="s">
        <v>1576</v>
      </c>
      <c r="H55" s="429" t="s">
        <v>1577</v>
      </c>
      <c r="I55" s="992" t="s">
        <v>1578</v>
      </c>
      <c r="J55" s="992"/>
    </row>
    <row r="56" spans="3:10" hidden="1">
      <c r="C56" s="430" t="s">
        <v>1581</v>
      </c>
      <c r="D56" s="447"/>
      <c r="E56" s="317" t="s">
        <v>240</v>
      </c>
      <c r="F56" s="317" t="s">
        <v>240</v>
      </c>
      <c r="G56" s="2"/>
      <c r="H56" s="442">
        <f>IF(OR(E56="Click to select",F56="Click to select"),0,IF(OR(E56="ANSP",E56="MET"),IF(OR(F56="Staff",F56="Other operating",F56="Exceptional items"),G56/(INDEX(Table_TCZs_RP2_unique[Inflation Index 2019 Actual],MATCH($M$4,Table_TCZs_RP2_unique[TCZ_Name],0))/100),G56),G56))</f>
        <v>0</v>
      </c>
      <c r="I56" s="993">
        <f>IFERROR(H56/$D$23,0)</f>
        <v>0</v>
      </c>
      <c r="J56" s="994"/>
    </row>
    <row r="57" spans="3:10" hidden="1">
      <c r="C57" s="983" t="s">
        <v>1579</v>
      </c>
      <c r="D57" s="984"/>
      <c r="E57" s="984"/>
      <c r="F57" s="984"/>
      <c r="G57" s="984"/>
      <c r="H57" s="984"/>
      <c r="I57" s="984"/>
      <c r="J57" s="985"/>
    </row>
    <row r="58" spans="3:10" ht="30" hidden="1" customHeight="1">
      <c r="C58" s="979" t="s">
        <v>1580</v>
      </c>
      <c r="D58" s="980"/>
      <c r="E58" s="980"/>
      <c r="F58" s="980"/>
      <c r="G58" s="980"/>
      <c r="H58" s="980"/>
      <c r="I58" s="980"/>
      <c r="J58" s="981"/>
    </row>
    <row r="59" spans="3:10" hidden="1">
      <c r="C59" s="76"/>
    </row>
    <row r="60" spans="3:10" hidden="1">
      <c r="C60" s="428" t="s">
        <v>1585</v>
      </c>
      <c r="D60" s="429" t="s">
        <v>259</v>
      </c>
      <c r="E60" s="429" t="s">
        <v>1574</v>
      </c>
      <c r="F60" s="429" t="s">
        <v>1575</v>
      </c>
      <c r="G60" s="429" t="s">
        <v>1576</v>
      </c>
      <c r="H60" s="429" t="s">
        <v>1577</v>
      </c>
      <c r="I60" s="992" t="s">
        <v>1578</v>
      </c>
      <c r="J60" s="992"/>
    </row>
    <row r="61" spans="3:10" hidden="1">
      <c r="C61" s="430" t="s">
        <v>1581</v>
      </c>
      <c r="D61" s="447"/>
      <c r="E61" s="317" t="s">
        <v>240</v>
      </c>
      <c r="F61" s="317" t="s">
        <v>240</v>
      </c>
      <c r="G61" s="2"/>
      <c r="H61" s="442">
        <f>IF(OR(E61="Click to select",F61="Click to select"),0,IF(OR(E61="ANSP",E61="MET"),IF(OR(F61="Staff",F61="Other operating",F61="Exceptional items"),G61/(INDEX(Table_TCZs_RP2_unique[Inflation Index 2019 Actual],MATCH($M$4,Table_TCZs_RP2_unique[TCZ_Name],0))/100),G61),G61))</f>
        <v>0</v>
      </c>
      <c r="I61" s="993">
        <f>IFERROR(H61/$D$23,0)</f>
        <v>0</v>
      </c>
      <c r="J61" s="994"/>
    </row>
    <row r="62" spans="3:10" hidden="1">
      <c r="C62" s="983" t="s">
        <v>1579</v>
      </c>
      <c r="D62" s="984"/>
      <c r="E62" s="984"/>
      <c r="F62" s="984"/>
      <c r="G62" s="984"/>
      <c r="H62" s="984"/>
      <c r="I62" s="984"/>
      <c r="J62" s="985"/>
    </row>
    <row r="63" spans="3:10" ht="30" hidden="1" customHeight="1">
      <c r="C63" s="979" t="s">
        <v>1580</v>
      </c>
      <c r="D63" s="980"/>
      <c r="E63" s="980"/>
      <c r="F63" s="980"/>
      <c r="G63" s="980"/>
      <c r="H63" s="980"/>
      <c r="I63" s="980"/>
      <c r="J63" s="981"/>
    </row>
    <row r="64" spans="3:10" hidden="1">
      <c r="C64" s="76"/>
    </row>
    <row r="65" spans="3:10" hidden="1">
      <c r="C65" s="428" t="s">
        <v>1586</v>
      </c>
      <c r="D65" s="429" t="s">
        <v>259</v>
      </c>
      <c r="E65" s="429" t="s">
        <v>1574</v>
      </c>
      <c r="F65" s="429" t="s">
        <v>1575</v>
      </c>
      <c r="G65" s="429" t="s">
        <v>1576</v>
      </c>
      <c r="H65" s="429" t="s">
        <v>1577</v>
      </c>
      <c r="I65" s="992" t="s">
        <v>1578</v>
      </c>
      <c r="J65" s="992"/>
    </row>
    <row r="66" spans="3:10" hidden="1">
      <c r="C66" s="430" t="s">
        <v>1581</v>
      </c>
      <c r="D66" s="447"/>
      <c r="E66" s="317" t="s">
        <v>240</v>
      </c>
      <c r="F66" s="317" t="s">
        <v>240</v>
      </c>
      <c r="G66" s="2"/>
      <c r="H66" s="442">
        <f>IF(OR(E66="Click to select",F66="Click to select"),0,IF(OR(E66="ANSP",E66="MET"),IF(OR(F66="Staff",F66="Other operating",F66="Exceptional items"),G66/(INDEX(Table_TCZs_RP2_unique[Inflation Index 2019 Actual],MATCH($M$4,Table_TCZs_RP2_unique[TCZ_Name],0))/100),G66),G66))</f>
        <v>0</v>
      </c>
      <c r="I66" s="993">
        <f>IFERROR(H66/$D$23,0)</f>
        <v>0</v>
      </c>
      <c r="J66" s="994"/>
    </row>
    <row r="67" spans="3:10" hidden="1">
      <c r="C67" s="983" t="s">
        <v>1579</v>
      </c>
      <c r="D67" s="984"/>
      <c r="E67" s="984"/>
      <c r="F67" s="984"/>
      <c r="G67" s="984"/>
      <c r="H67" s="984"/>
      <c r="I67" s="984"/>
      <c r="J67" s="985"/>
    </row>
    <row r="68" spans="3:10" ht="30" hidden="1" customHeight="1">
      <c r="C68" s="979" t="s">
        <v>1580</v>
      </c>
      <c r="D68" s="980"/>
      <c r="E68" s="980"/>
      <c r="F68" s="980"/>
      <c r="G68" s="980"/>
      <c r="H68" s="980"/>
      <c r="I68" s="980"/>
      <c r="J68" s="981"/>
    </row>
    <row r="69" spans="3:10" hidden="1">
      <c r="C69" s="76"/>
    </row>
    <row r="70" spans="3:10" hidden="1">
      <c r="C70" s="428" t="s">
        <v>1587</v>
      </c>
      <c r="D70" s="429" t="s">
        <v>259</v>
      </c>
      <c r="E70" s="429" t="s">
        <v>1574</v>
      </c>
      <c r="F70" s="429" t="s">
        <v>1575</v>
      </c>
      <c r="G70" s="429" t="s">
        <v>1576</v>
      </c>
      <c r="H70" s="429" t="s">
        <v>1577</v>
      </c>
      <c r="I70" s="992" t="s">
        <v>1578</v>
      </c>
      <c r="J70" s="992"/>
    </row>
    <row r="71" spans="3:10" hidden="1">
      <c r="C71" s="430" t="s">
        <v>1581</v>
      </c>
      <c r="D71" s="447"/>
      <c r="E71" s="317" t="s">
        <v>240</v>
      </c>
      <c r="F71" s="317" t="s">
        <v>240</v>
      </c>
      <c r="G71" s="2"/>
      <c r="H71" s="442">
        <f>IF(OR(E71="Click to select",F71="Click to select"),0,IF(OR(E71="ANSP",E71="MET"),IF(OR(F71="Staff",F71="Other operating",F71="Exceptional items"),G71/(INDEX(Table_TCZs_RP2_unique[Inflation Index 2019 Actual],MATCH($M$4,Table_TCZs_RP2_unique[TCZ_Name],0))/100),G71),G71))</f>
        <v>0</v>
      </c>
      <c r="I71" s="993">
        <f>IFERROR(H71/$D$23,0)</f>
        <v>0</v>
      </c>
      <c r="J71" s="994"/>
    </row>
    <row r="72" spans="3:10" hidden="1">
      <c r="C72" s="983" t="s">
        <v>1579</v>
      </c>
      <c r="D72" s="984"/>
      <c r="E72" s="984"/>
      <c r="F72" s="984"/>
      <c r="G72" s="984"/>
      <c r="H72" s="984"/>
      <c r="I72" s="984"/>
      <c r="J72" s="985"/>
    </row>
    <row r="73" spans="3:10" ht="30" hidden="1" customHeight="1">
      <c r="C73" s="979" t="s">
        <v>1580</v>
      </c>
      <c r="D73" s="980"/>
      <c r="E73" s="980"/>
      <c r="F73" s="980"/>
      <c r="G73" s="980"/>
      <c r="H73" s="980"/>
      <c r="I73" s="980"/>
      <c r="J73" s="981"/>
    </row>
    <row r="74" spans="3:10" hidden="1">
      <c r="C74" s="76"/>
    </row>
    <row r="75" spans="3:10" hidden="1">
      <c r="C75" s="428" t="s">
        <v>1588</v>
      </c>
      <c r="D75" s="429" t="s">
        <v>259</v>
      </c>
      <c r="E75" s="429" t="s">
        <v>1574</v>
      </c>
      <c r="F75" s="429" t="s">
        <v>1575</v>
      </c>
      <c r="G75" s="429" t="s">
        <v>1576</v>
      </c>
      <c r="H75" s="429" t="s">
        <v>1577</v>
      </c>
      <c r="I75" s="992" t="s">
        <v>1578</v>
      </c>
      <c r="J75" s="992"/>
    </row>
    <row r="76" spans="3:10" hidden="1">
      <c r="C76" s="430" t="s">
        <v>1581</v>
      </c>
      <c r="D76" s="447"/>
      <c r="E76" s="317" t="s">
        <v>240</v>
      </c>
      <c r="F76" s="317" t="s">
        <v>240</v>
      </c>
      <c r="G76" s="2"/>
      <c r="H76" s="442">
        <f>IF(OR(E76="Click to select",F76="Click to select"),0,IF(OR(E76="ANSP",E76="MET"),IF(OR(F76="Staff",F76="Other operating",F76="Exceptional items"),G76/(INDEX(Table_TCZs_RP2_unique[Inflation Index 2019 Actual],MATCH($M$4,Table_TCZs_RP2_unique[TCZ_Name],0))/100),G76),G76))</f>
        <v>0</v>
      </c>
      <c r="I76" s="993">
        <f>IFERROR(H76/$D$23,0)</f>
        <v>0</v>
      </c>
      <c r="J76" s="994"/>
    </row>
    <row r="77" spans="3:10" hidden="1">
      <c r="C77" s="983" t="s">
        <v>1579</v>
      </c>
      <c r="D77" s="984"/>
      <c r="E77" s="984"/>
      <c r="F77" s="984"/>
      <c r="G77" s="984"/>
      <c r="H77" s="984"/>
      <c r="I77" s="984"/>
      <c r="J77" s="985"/>
    </row>
    <row r="78" spans="3:10" ht="30" hidden="1" customHeight="1">
      <c r="C78" s="979" t="s">
        <v>1580</v>
      </c>
      <c r="D78" s="980"/>
      <c r="E78" s="980"/>
      <c r="F78" s="980"/>
      <c r="G78" s="980"/>
      <c r="H78" s="980"/>
      <c r="I78" s="980"/>
      <c r="J78" s="981"/>
    </row>
    <row r="79" spans="3:10" hidden="1">
      <c r="C79" s="76"/>
    </row>
    <row r="80" spans="3:10" hidden="1">
      <c r="C80" s="428" t="s">
        <v>1589</v>
      </c>
      <c r="D80" s="429" t="s">
        <v>259</v>
      </c>
      <c r="E80" s="429" t="s">
        <v>1574</v>
      </c>
      <c r="F80" s="429" t="s">
        <v>1575</v>
      </c>
      <c r="G80" s="429" t="s">
        <v>1576</v>
      </c>
      <c r="H80" s="429" t="s">
        <v>1577</v>
      </c>
      <c r="I80" s="992" t="s">
        <v>1578</v>
      </c>
      <c r="J80" s="992"/>
    </row>
    <row r="81" spans="3:14" hidden="1">
      <c r="C81" s="430" t="s">
        <v>1581</v>
      </c>
      <c r="D81" s="447"/>
      <c r="E81" s="317" t="s">
        <v>240</v>
      </c>
      <c r="F81" s="317" t="s">
        <v>240</v>
      </c>
      <c r="G81" s="2"/>
      <c r="H81" s="442">
        <f>IF(OR(E81="Click to select",F81="Click to select"),0,IF(OR(E81="ANSP",E81="MET"),IF(OR(F81="Staff",F81="Other operating",F81="Exceptional items"),G81/(INDEX(Table_TCZs_RP2_unique[Inflation Index 2019 Actual],MATCH($M$4,Table_TCZs_RP2_unique[TCZ_Name],0))/100),G81),G81))</f>
        <v>0</v>
      </c>
      <c r="I81" s="993">
        <f>IFERROR(H81/$D$23,0)</f>
        <v>0</v>
      </c>
      <c r="J81" s="994"/>
    </row>
    <row r="82" spans="3:14" hidden="1">
      <c r="C82" s="983" t="s">
        <v>1579</v>
      </c>
      <c r="D82" s="984"/>
      <c r="E82" s="984"/>
      <c r="F82" s="984"/>
      <c r="G82" s="984"/>
      <c r="H82" s="984"/>
      <c r="I82" s="984"/>
      <c r="J82" s="985"/>
    </row>
    <row r="83" spans="3:14" ht="30" hidden="1" customHeight="1">
      <c r="C83" s="979" t="s">
        <v>1580</v>
      </c>
      <c r="D83" s="980"/>
      <c r="E83" s="980"/>
      <c r="F83" s="980"/>
      <c r="G83" s="980"/>
      <c r="H83" s="980"/>
      <c r="I83" s="980"/>
      <c r="J83" s="981"/>
    </row>
    <row r="84" spans="3:14" hidden="1">
      <c r="C84" s="76"/>
    </row>
    <row r="85" spans="3:14" hidden="1">
      <c r="C85" s="428" t="s">
        <v>1590</v>
      </c>
      <c r="D85" s="429" t="s">
        <v>259</v>
      </c>
      <c r="E85" s="429" t="s">
        <v>1574</v>
      </c>
      <c r="F85" s="429" t="s">
        <v>1575</v>
      </c>
      <c r="G85" s="429" t="s">
        <v>1576</v>
      </c>
      <c r="H85" s="429" t="s">
        <v>1577</v>
      </c>
      <c r="I85" s="992" t="s">
        <v>1578</v>
      </c>
      <c r="J85" s="992"/>
    </row>
    <row r="86" spans="3:14" hidden="1">
      <c r="C86" s="430" t="s">
        <v>1581</v>
      </c>
      <c r="D86" s="447"/>
      <c r="E86" s="317" t="s">
        <v>240</v>
      </c>
      <c r="F86" s="317" t="s">
        <v>240</v>
      </c>
      <c r="G86" s="2"/>
      <c r="H86" s="442">
        <f>IF(OR(E86="Click to select",F86="Click to select"),0,IF(OR(E86="ANSP",E86="MET"),IF(OR(F86="Staff",F86="Other operating",F86="Exceptional items"),G86/(INDEX(Table_TCZs_RP2_unique[Inflation Index 2019 Actual],MATCH($M$4,Table_TCZs_RP2_unique[TCZ_Name],0))/100),G86),G86))</f>
        <v>0</v>
      </c>
      <c r="I86" s="993">
        <f>IFERROR(H86/$D$23,0)</f>
        <v>0</v>
      </c>
      <c r="J86" s="994"/>
    </row>
    <row r="87" spans="3:14" hidden="1">
      <c r="C87" s="983" t="s">
        <v>1579</v>
      </c>
      <c r="D87" s="984"/>
      <c r="E87" s="984"/>
      <c r="F87" s="984"/>
      <c r="G87" s="984"/>
      <c r="H87" s="984"/>
      <c r="I87" s="984"/>
      <c r="J87" s="985"/>
    </row>
    <row r="88" spans="3:14" ht="30" hidden="1" customHeight="1">
      <c r="C88" s="979" t="s">
        <v>1580</v>
      </c>
      <c r="D88" s="980"/>
      <c r="E88" s="980"/>
      <c r="F88" s="980"/>
      <c r="G88" s="980"/>
      <c r="H88" s="980"/>
      <c r="I88" s="980"/>
      <c r="J88" s="981"/>
    </row>
    <row r="89" spans="3:14" hidden="1"/>
    <row r="90" spans="3:14">
      <c r="C90" s="933" t="s">
        <v>1618</v>
      </c>
      <c r="D90" s="934"/>
      <c r="E90" s="934"/>
      <c r="F90" s="935"/>
      <c r="G90" s="433" t="s">
        <v>1576</v>
      </c>
      <c r="H90" s="433" t="s">
        <v>1577</v>
      </c>
      <c r="I90" s="986" t="s">
        <v>1578</v>
      </c>
      <c r="J90" s="987"/>
      <c r="N90" s="462" t="str">
        <f>IFERROR(IF(ROUND(G91/100,0)&lt;&gt;ROUND(F30/100,0),"The total adjustment in nominal NC does not match the figure in section b)",""),"")</f>
        <v/>
      </c>
    </row>
    <row r="91" spans="3:14">
      <c r="C91" s="936"/>
      <c r="D91" s="937"/>
      <c r="E91" s="937"/>
      <c r="F91" s="938"/>
      <c r="G91" s="452" t="str">
        <f>IF(G86+G81+G76+G71+G66+G61+G56+G51+G46+G41=0,"-",G86+G81+G76+G71+G66+G61+G56+G51+G46+G41)</f>
        <v>-</v>
      </c>
      <c r="H91" s="452">
        <f>IFERROR(H86+H81+H76+H71+H66+H61+H56+H51+H46+H41,"-")</f>
        <v>0</v>
      </c>
      <c r="I91" s="988">
        <f>IFERROR(I86+I81+I76+I71+I66+I61+I56+I51+I46+I41,"-")</f>
        <v>0</v>
      </c>
      <c r="J91" s="989"/>
      <c r="N91" s="462" t="str">
        <f>IFERROR(IF(ROUND(H91/100,0)&lt;&gt;ROUND(F31/100,0),"The total adjustment in real NC does not match the figure in section b)",""),"")</f>
        <v/>
      </c>
    </row>
    <row r="93" spans="3:14" hidden="1"/>
    <row r="94" spans="3:14">
      <c r="C94" s="444" t="s">
        <v>1652</v>
      </c>
    </row>
    <row r="95" spans="3:14">
      <c r="C95" s="444"/>
    </row>
    <row r="96" spans="3:14">
      <c r="C96" s="428" t="s">
        <v>1663</v>
      </c>
      <c r="D96" s="317" t="s">
        <v>240</v>
      </c>
    </row>
    <row r="97" spans="3:14" hidden="1">
      <c r="C97" s="931" t="s">
        <v>1581</v>
      </c>
      <c r="D97" s="932"/>
      <c r="H97" s="429" t="s">
        <v>1597</v>
      </c>
      <c r="I97" s="990"/>
      <c r="J97" s="991"/>
      <c r="N97" s="462" t="str">
        <f>IFERROR(IF(ROUND(I97/100,0)&lt;&gt;ROUND(F33/100,0),"The service units total adjustment does not match the figure in section b)",""),"")</f>
        <v/>
      </c>
    </row>
    <row r="98" spans="3:14" hidden="1">
      <c r="C98" s="983" t="s">
        <v>1579</v>
      </c>
      <c r="D98" s="984"/>
      <c r="E98" s="984"/>
      <c r="F98" s="984"/>
      <c r="G98" s="984"/>
      <c r="H98" s="984"/>
      <c r="I98" s="984"/>
      <c r="J98" s="985"/>
    </row>
    <row r="99" spans="3:14" hidden="1">
      <c r="C99" s="979" t="s">
        <v>1580</v>
      </c>
      <c r="D99" s="980"/>
      <c r="E99" s="980"/>
      <c r="F99" s="980"/>
      <c r="G99" s="980"/>
      <c r="H99" s="980"/>
      <c r="I99" s="980"/>
      <c r="J99" s="981"/>
    </row>
    <row r="102" spans="3:14">
      <c r="C102" s="76" t="s">
        <v>1730</v>
      </c>
    </row>
    <row r="103" spans="3:14" ht="7.5" customHeight="1"/>
    <row r="104" spans="3:14" ht="60" customHeight="1">
      <c r="C104" s="779"/>
      <c r="D104" s="780"/>
      <c r="E104" s="780"/>
      <c r="F104" s="780"/>
      <c r="G104" s="780"/>
      <c r="H104" s="780"/>
      <c r="I104" s="780"/>
      <c r="J104" s="780"/>
      <c r="K104" s="780"/>
      <c r="L104" s="182"/>
    </row>
    <row r="105" spans="3:14">
      <c r="C105" s="300" t="s">
        <v>1424</v>
      </c>
      <c r="D105" s="152"/>
      <c r="E105" s="152"/>
      <c r="F105" s="152"/>
      <c r="G105" s="152"/>
      <c r="H105" s="152"/>
      <c r="I105" s="152"/>
      <c r="J105" s="152"/>
      <c r="K105" s="152"/>
    </row>
    <row r="107" spans="3:14">
      <c r="C107" s="76" t="s">
        <v>1731</v>
      </c>
    </row>
    <row r="108" spans="3:14" ht="7.5" customHeight="1"/>
    <row r="109" spans="3:14" ht="60" customHeight="1">
      <c r="C109" s="979"/>
      <c r="D109" s="980"/>
      <c r="E109" s="980"/>
      <c r="F109" s="980"/>
      <c r="G109" s="980"/>
      <c r="H109" s="980"/>
      <c r="I109" s="980"/>
      <c r="J109" s="981"/>
    </row>
    <row r="110" spans="3:14">
      <c r="C110" s="300" t="s">
        <v>1424</v>
      </c>
      <c r="D110" s="152"/>
      <c r="E110" s="152"/>
      <c r="F110" s="152"/>
      <c r="G110" s="152"/>
      <c r="H110" s="152"/>
      <c r="I110" s="152"/>
      <c r="J110" s="152"/>
    </row>
    <row r="112" spans="3:14" ht="30" customHeight="1">
      <c r="C112" s="969" t="s">
        <v>1625</v>
      </c>
      <c r="D112" s="969"/>
      <c r="E112" s="969"/>
      <c r="F112" s="969"/>
      <c r="G112" s="969"/>
      <c r="H112" s="969"/>
      <c r="I112" s="969"/>
      <c r="J112" s="969"/>
      <c r="K112" s="461"/>
      <c r="L112" s="461"/>
    </row>
    <row r="113" spans="3:10" ht="7.5" customHeight="1"/>
    <row r="114" spans="3:10" ht="60" customHeight="1">
      <c r="C114" s="979"/>
      <c r="D114" s="980"/>
      <c r="E114" s="980"/>
      <c r="F114" s="980"/>
      <c r="G114" s="980"/>
      <c r="H114" s="980"/>
      <c r="I114" s="980"/>
      <c r="J114" s="981"/>
    </row>
    <row r="115" spans="3:10">
      <c r="C115" s="300" t="s">
        <v>1626</v>
      </c>
      <c r="D115" s="152"/>
      <c r="E115" s="152"/>
      <c r="F115" s="152"/>
      <c r="G115" s="152"/>
      <c r="H115" s="152"/>
      <c r="I115" s="152"/>
      <c r="J115" s="152"/>
    </row>
  </sheetData>
  <mergeCells count="53">
    <mergeCell ref="C42:J42"/>
    <mergeCell ref="G38:H38"/>
    <mergeCell ref="I38:J38"/>
    <mergeCell ref="I40:J40"/>
    <mergeCell ref="I41:J41"/>
    <mergeCell ref="C57:J57"/>
    <mergeCell ref="C43:J43"/>
    <mergeCell ref="I45:J45"/>
    <mergeCell ref="I46:J46"/>
    <mergeCell ref="C47:J47"/>
    <mergeCell ref="C48:J48"/>
    <mergeCell ref="I50:J50"/>
    <mergeCell ref="I51:J51"/>
    <mergeCell ref="C52:J52"/>
    <mergeCell ref="C53:J53"/>
    <mergeCell ref="I55:J55"/>
    <mergeCell ref="I56:J56"/>
    <mergeCell ref="C72:J72"/>
    <mergeCell ref="C58:J58"/>
    <mergeCell ref="I60:J60"/>
    <mergeCell ref="I61:J61"/>
    <mergeCell ref="C62:J62"/>
    <mergeCell ref="C63:J63"/>
    <mergeCell ref="I65:J65"/>
    <mergeCell ref="I66:J66"/>
    <mergeCell ref="C67:J67"/>
    <mergeCell ref="C68:J68"/>
    <mergeCell ref="I70:J70"/>
    <mergeCell ref="I71:J71"/>
    <mergeCell ref="C87:J87"/>
    <mergeCell ref="C73:J73"/>
    <mergeCell ref="I75:J75"/>
    <mergeCell ref="I76:J76"/>
    <mergeCell ref="C77:J77"/>
    <mergeCell ref="C78:J78"/>
    <mergeCell ref="I80:J80"/>
    <mergeCell ref="I81:J81"/>
    <mergeCell ref="C82:J82"/>
    <mergeCell ref="C83:J83"/>
    <mergeCell ref="I85:J85"/>
    <mergeCell ref="I86:J86"/>
    <mergeCell ref="C88:J88"/>
    <mergeCell ref="C90:F91"/>
    <mergeCell ref="I90:J90"/>
    <mergeCell ref="I91:J91"/>
    <mergeCell ref="C97:D97"/>
    <mergeCell ref="I97:J97"/>
    <mergeCell ref="C112:J112"/>
    <mergeCell ref="C114:J114"/>
    <mergeCell ref="C98:J98"/>
    <mergeCell ref="C99:J99"/>
    <mergeCell ref="C109:J109"/>
    <mergeCell ref="C104:K104"/>
  </mergeCells>
  <conditionalFormatting sqref="F41">
    <cfRule type="expression" dxfId="175" priority="20">
      <formula>$A$2="PRINT"</formula>
    </cfRule>
  </conditionalFormatting>
  <conditionalFormatting sqref="I38">
    <cfRule type="expression" dxfId="174" priority="22">
      <formula>$A$2="PRINT"</formula>
    </cfRule>
  </conditionalFormatting>
  <conditionalFormatting sqref="E41">
    <cfRule type="expression" dxfId="173" priority="21">
      <formula>$A$2="PRINT"</formula>
    </cfRule>
  </conditionalFormatting>
  <conditionalFormatting sqref="F46">
    <cfRule type="expression" dxfId="172" priority="18">
      <formula>$A$2="PRINT"</formula>
    </cfRule>
  </conditionalFormatting>
  <conditionalFormatting sqref="E46">
    <cfRule type="expression" dxfId="171" priority="19">
      <formula>$A$2="PRINT"</formula>
    </cfRule>
  </conditionalFormatting>
  <conditionalFormatting sqref="F51">
    <cfRule type="expression" dxfId="170" priority="16">
      <formula>$A$2="PRINT"</formula>
    </cfRule>
  </conditionalFormatting>
  <conditionalFormatting sqref="E51">
    <cfRule type="expression" dxfId="169" priority="17">
      <formula>$A$2="PRINT"</formula>
    </cfRule>
  </conditionalFormatting>
  <conditionalFormatting sqref="F56">
    <cfRule type="expression" dxfId="168" priority="14">
      <formula>$A$2="PRINT"</formula>
    </cfRule>
  </conditionalFormatting>
  <conditionalFormatting sqref="E56">
    <cfRule type="expression" dxfId="167" priority="15">
      <formula>$A$2="PRINT"</formula>
    </cfRule>
  </conditionalFormatting>
  <conditionalFormatting sqref="F61">
    <cfRule type="expression" dxfId="166" priority="12">
      <formula>$A$2="PRINT"</formula>
    </cfRule>
  </conditionalFormatting>
  <conditionalFormatting sqref="E61">
    <cfRule type="expression" dxfId="165" priority="13">
      <formula>$A$2="PRINT"</formula>
    </cfRule>
  </conditionalFormatting>
  <conditionalFormatting sqref="F66">
    <cfRule type="expression" dxfId="164" priority="10">
      <formula>$A$2="PRINT"</formula>
    </cfRule>
  </conditionalFormatting>
  <conditionalFormatting sqref="E66">
    <cfRule type="expression" dxfId="163" priority="11">
      <formula>$A$2="PRINT"</formula>
    </cfRule>
  </conditionalFormatting>
  <conditionalFormatting sqref="F71">
    <cfRule type="expression" dxfId="162" priority="8">
      <formula>$A$2="PRINT"</formula>
    </cfRule>
  </conditionalFormatting>
  <conditionalFormatting sqref="E71">
    <cfRule type="expression" dxfId="161" priority="9">
      <formula>$A$2="PRINT"</formula>
    </cfRule>
  </conditionalFormatting>
  <conditionalFormatting sqref="F76">
    <cfRule type="expression" dxfId="160" priority="6">
      <formula>$A$2="PRINT"</formula>
    </cfRule>
  </conditionalFormatting>
  <conditionalFormatting sqref="E76">
    <cfRule type="expression" dxfId="159" priority="7">
      <formula>$A$2="PRINT"</formula>
    </cfRule>
  </conditionalFormatting>
  <conditionalFormatting sqref="F81">
    <cfRule type="expression" dxfId="158" priority="4">
      <formula>$A$2="PRINT"</formula>
    </cfRule>
  </conditionalFormatting>
  <conditionalFormatting sqref="E81">
    <cfRule type="expression" dxfId="157" priority="5">
      <formula>$A$2="PRINT"</formula>
    </cfRule>
  </conditionalFormatting>
  <conditionalFormatting sqref="F86">
    <cfRule type="expression" dxfId="156" priority="2">
      <formula>$A$2="PRINT"</formula>
    </cfRule>
  </conditionalFormatting>
  <conditionalFormatting sqref="E86">
    <cfRule type="expression" dxfId="155" priority="3">
      <formula>$A$2="PRINT"</formula>
    </cfRule>
  </conditionalFormatting>
  <conditionalFormatting sqref="D96">
    <cfRule type="expression" dxfId="154" priority="1">
      <formula>$A$2="PRINT"</formula>
    </cfRule>
  </conditionalFormatting>
  <dataValidations count="4">
    <dataValidation type="list" allowBlank="1" showInputMessage="1" showErrorMessage="1" sqref="I38:J38" xr:uid="{00000000-0002-0000-2E00-000000000000}">
      <formula1>" Click to select,0,1,2,3,4,5,6,7,8,9,10"</formula1>
    </dataValidation>
    <dataValidation type="list" allowBlank="1" showInputMessage="1" showErrorMessage="1" sqref="F41 F46 F81 F51 F56 F61 F66 F71 F76 F86" xr:uid="{00000000-0002-0000-2E00-000001000000}">
      <formula1>" Click to select,Staff,Other operating,Depreciation,Cost of capital,Exceptional items"</formula1>
    </dataValidation>
    <dataValidation type="list" allowBlank="1" showInputMessage="1" showErrorMessage="1" sqref="E41 E46 E81 E51 E56 E61 E66 E71 E76 E86" xr:uid="{00000000-0002-0000-2E00-000002000000}">
      <formula1>" Click to select,ANSP,MET,NSA/EUROCONTROL"</formula1>
    </dataValidation>
    <dataValidation type="list" allowBlank="1" showInputMessage="1" showErrorMessage="1" sqref="D96" xr:uid="{00000000-0002-0000-2E00-000003000000}">
      <formula1>" Click to select,Yes,No"</formula1>
    </dataValidation>
  </dataValidations>
  <pageMargins left="0.7" right="0.7" top="0.75" bottom="0.75" header="0.3" footer="0.3"/>
  <pageSetup paperSize="9" scale="82" fitToHeight="0" orientation="landscape" r:id="rId1"/>
  <headerFooter>
    <oddFooter>&amp;C&amp;P</oddFooter>
  </headerFooter>
  <rowBreaks count="1" manualBreakCount="1">
    <brk id="34" min="2" max="10" man="1"/>
  </rowBreaks>
  <drawing r:id="rId2"/>
  <picture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7">
    <tabColor theme="8" tint="0.59999389629810485"/>
    <pageSetUpPr fitToPage="1"/>
  </sheetPr>
  <dimension ref="A1:W136"/>
  <sheetViews>
    <sheetView showGridLines="0" topLeftCell="A53" zoomScaleNormal="100" workbookViewId="0">
      <selection activeCell="M143" sqref="M143"/>
    </sheetView>
  </sheetViews>
  <sheetFormatPr defaultColWidth="9.140625" defaultRowHeight="15"/>
  <cols>
    <col min="1" max="1" width="9.140625" style="3"/>
    <col min="2" max="2" width="13.5703125" style="3" bestFit="1" customWidth="1"/>
    <col min="3" max="3" width="46.140625" style="3" customWidth="1"/>
    <col min="4" max="9" width="11.7109375" style="3" customWidth="1"/>
    <col min="10" max="10" width="1.7109375" style="3" customWidth="1"/>
    <col min="11" max="11" width="12.140625" style="3" bestFit="1" customWidth="1"/>
    <col min="12" max="12" width="13.7109375" style="3" customWidth="1"/>
    <col min="13" max="16384" width="9.140625" style="3"/>
  </cols>
  <sheetData>
    <row r="1" spans="1:23">
      <c r="A1" s="103"/>
    </row>
    <row r="2" spans="1:23" ht="15.75" customHeight="1" thickBot="1">
      <c r="A2" s="103"/>
      <c r="B2" s="32" t="s">
        <v>1126</v>
      </c>
      <c r="C2" s="32"/>
      <c r="D2" s="32"/>
      <c r="E2" s="32"/>
      <c r="F2" s="32"/>
      <c r="G2" s="32"/>
      <c r="H2" s="32"/>
      <c r="I2" s="32"/>
    </row>
    <row r="3" spans="1:23" s="119" customFormat="1" ht="15.75" customHeight="1">
      <c r="A3" s="103"/>
      <c r="B3" s="270"/>
      <c r="C3" s="270"/>
      <c r="D3" s="270"/>
      <c r="E3" s="270"/>
      <c r="F3" s="270"/>
      <c r="G3" s="270"/>
      <c r="H3" s="270"/>
      <c r="I3" s="270"/>
    </row>
    <row r="4" spans="1:23" s="119" customFormat="1" ht="15.75" customHeight="1">
      <c r="A4" s="271"/>
      <c r="B4" s="1010" t="str">
        <f>'1.1 The situation'!B13</f>
        <v>DCAC Cyprus</v>
      </c>
      <c r="C4" s="1011"/>
      <c r="D4" s="272"/>
      <c r="E4" s="118"/>
      <c r="F4" s="118"/>
      <c r="G4" s="118"/>
      <c r="H4" s="118"/>
      <c r="I4" s="118"/>
    </row>
    <row r="5" spans="1:23" s="119" customFormat="1" ht="15.75" customHeight="1">
      <c r="A5" s="103"/>
      <c r="B5" s="273"/>
      <c r="C5" s="273"/>
      <c r="D5" s="103"/>
      <c r="E5" s="103"/>
      <c r="F5" s="103"/>
      <c r="G5" s="103"/>
      <c r="H5" s="118"/>
      <c r="I5" s="118"/>
    </row>
    <row r="6" spans="1:23" s="119" customFormat="1" ht="15.75" customHeight="1">
      <c r="A6" s="103"/>
      <c r="B6" s="50" t="s">
        <v>1448</v>
      </c>
      <c r="C6" s="271"/>
      <c r="D6" s="103"/>
      <c r="E6" s="103"/>
      <c r="F6" s="103"/>
      <c r="G6" s="103"/>
      <c r="H6" s="118"/>
      <c r="I6" s="118"/>
    </row>
    <row r="7" spans="1:23" s="119" customFormat="1" ht="15.75" customHeight="1">
      <c r="A7" s="103"/>
      <c r="B7" s="271"/>
      <c r="C7" s="271"/>
      <c r="D7" s="103"/>
      <c r="E7" s="103"/>
      <c r="F7" s="103"/>
      <c r="G7" s="103"/>
      <c r="H7" s="118"/>
      <c r="I7" s="118"/>
    </row>
    <row r="8" spans="1:23" s="119" customFormat="1" ht="15.75" customHeight="1">
      <c r="A8" s="103"/>
      <c r="B8" s="645" t="s">
        <v>1447</v>
      </c>
      <c r="C8" s="998"/>
      <c r="D8" s="318" t="s">
        <v>1077</v>
      </c>
      <c r="E8" s="318" t="s">
        <v>1078</v>
      </c>
      <c r="F8" s="198" t="s">
        <v>1660</v>
      </c>
      <c r="G8" s="318" t="s">
        <v>1079</v>
      </c>
      <c r="H8" s="318" t="s">
        <v>1080</v>
      </c>
      <c r="I8" s="318" t="s">
        <v>1081</v>
      </c>
    </row>
    <row r="9" spans="1:23" s="119" customFormat="1" ht="15.75" customHeight="1">
      <c r="A9" s="103"/>
      <c r="B9" s="1003" t="s">
        <v>1443</v>
      </c>
      <c r="C9" s="1004"/>
      <c r="D9" s="454">
        <f>D21+D27+D33+D39+D45+D64+D70+D76+D82+D88+D107+D123</f>
        <v>3553.2476496875288</v>
      </c>
      <c r="E9" s="454">
        <f t="shared" ref="E9:I9" si="0">E21+E27+E33+E39+E45+E64+E70+E76+E82+E88+E107+E123</f>
        <v>3770.349815380057</v>
      </c>
      <c r="F9" s="456">
        <f>+E9+D9</f>
        <v>7323.5974650675853</v>
      </c>
      <c r="G9" s="454">
        <f t="shared" si="0"/>
        <v>3800.1095630423188</v>
      </c>
      <c r="H9" s="454">
        <f t="shared" si="0"/>
        <v>4213.1577251889385</v>
      </c>
      <c r="I9" s="456">
        <f t="shared" si="0"/>
        <v>4602.9585255503607</v>
      </c>
    </row>
    <row r="10" spans="1:23" s="119" customFormat="1" ht="15.75" customHeight="1">
      <c r="A10" s="103"/>
      <c r="B10" s="148" t="s">
        <v>1444</v>
      </c>
      <c r="C10" s="339"/>
      <c r="D10" s="363">
        <f>D21+D64+D123</f>
        <v>3553.2476496875288</v>
      </c>
      <c r="E10" s="363">
        <f>E21+E64+E123</f>
        <v>3770.349815380057</v>
      </c>
      <c r="F10" s="456">
        <f t="shared" ref="F10:F12" si="1">+E10+D10</f>
        <v>7323.5974650675853</v>
      </c>
      <c r="G10" s="363">
        <f t="shared" ref="G10:I10" si="2">G21+G64+G123</f>
        <v>3800.1095630423188</v>
      </c>
      <c r="H10" s="363">
        <f t="shared" si="2"/>
        <v>4213.1577251889385</v>
      </c>
      <c r="I10" s="363">
        <f t="shared" si="2"/>
        <v>4602.9585255503607</v>
      </c>
      <c r="L10" s="995"/>
      <c r="M10" s="995"/>
      <c r="N10" s="995"/>
      <c r="O10" s="995"/>
      <c r="P10" s="995"/>
      <c r="Q10" s="995"/>
      <c r="R10" s="995"/>
      <c r="S10" s="995"/>
      <c r="T10" s="995"/>
      <c r="U10" s="995"/>
      <c r="V10" s="995"/>
      <c r="W10" s="995"/>
    </row>
    <row r="11" spans="1:23" s="119" customFormat="1" ht="15.75" customHeight="1">
      <c r="A11" s="103"/>
      <c r="B11" s="148" t="s">
        <v>1446</v>
      </c>
      <c r="C11" s="339"/>
      <c r="D11" s="363"/>
      <c r="E11" s="363"/>
      <c r="F11" s="456">
        <f t="shared" si="1"/>
        <v>0</v>
      </c>
      <c r="G11" s="363"/>
      <c r="H11" s="363"/>
      <c r="I11" s="363"/>
      <c r="L11" s="995"/>
      <c r="M11" s="995"/>
      <c r="N11" s="995"/>
      <c r="O11" s="995"/>
      <c r="P11" s="995"/>
      <c r="Q11" s="995"/>
      <c r="R11" s="995"/>
      <c r="S11" s="995"/>
      <c r="T11" s="995"/>
      <c r="U11" s="995"/>
      <c r="V11" s="995"/>
      <c r="W11" s="995"/>
    </row>
    <row r="12" spans="1:23" s="119" customFormat="1" ht="15.75" customHeight="1">
      <c r="A12" s="103"/>
      <c r="B12" s="996" t="s">
        <v>1445</v>
      </c>
      <c r="C12" s="997"/>
      <c r="D12" s="363"/>
      <c r="E12" s="363"/>
      <c r="F12" s="456">
        <f t="shared" si="1"/>
        <v>0</v>
      </c>
      <c r="G12" s="363"/>
      <c r="H12" s="363"/>
      <c r="I12" s="363"/>
    </row>
    <row r="13" spans="1:23" s="119" customFormat="1" ht="15.75" customHeight="1">
      <c r="A13" s="103"/>
      <c r="B13" s="271"/>
      <c r="C13" s="271"/>
      <c r="D13" s="554"/>
      <c r="E13" s="554"/>
      <c r="F13" s="554"/>
      <c r="G13" s="554"/>
      <c r="H13" s="554"/>
      <c r="I13" s="554"/>
    </row>
    <row r="14" spans="1:23" s="119" customFormat="1" ht="15.75" customHeight="1">
      <c r="A14" s="103"/>
      <c r="B14" s="50" t="s">
        <v>1449</v>
      </c>
      <c r="C14" s="274"/>
      <c r="D14" s="32"/>
      <c r="E14" s="32"/>
      <c r="F14" s="32"/>
      <c r="G14" s="32"/>
      <c r="H14" s="32"/>
      <c r="I14" s="32"/>
      <c r="J14" s="103"/>
      <c r="K14" s="103"/>
      <c r="L14" s="103"/>
    </row>
    <row r="15" spans="1:23" s="119" customFormat="1" ht="15.75" customHeight="1">
      <c r="A15" s="103"/>
      <c r="B15" s="118"/>
      <c r="C15" s="118"/>
      <c r="D15" s="118"/>
      <c r="E15" s="118"/>
      <c r="F15" s="118"/>
      <c r="G15" s="118"/>
      <c r="H15" s="118"/>
      <c r="I15" s="118"/>
    </row>
    <row r="16" spans="1:23" s="119" customFormat="1" ht="15.75" customHeight="1">
      <c r="A16" s="271"/>
      <c r="B16" s="1014" t="s">
        <v>1434</v>
      </c>
      <c r="C16" s="1015"/>
      <c r="D16" s="1015"/>
      <c r="E16" s="1015"/>
      <c r="F16" s="1015"/>
      <c r="G16" s="1015"/>
      <c r="H16" s="849" t="s">
        <v>1786</v>
      </c>
      <c r="I16" s="850"/>
      <c r="J16" s="275"/>
    </row>
    <row r="17" spans="1:12" s="119" customFormat="1" ht="15.75" customHeight="1">
      <c r="A17" s="103"/>
      <c r="B17" s="276"/>
      <c r="C17" s="276"/>
      <c r="D17" s="276"/>
      <c r="E17" s="276"/>
      <c r="F17" s="276"/>
      <c r="G17" s="276"/>
      <c r="H17" s="276"/>
      <c r="I17" s="276"/>
    </row>
    <row r="18" spans="1:12" s="119" customFormat="1" ht="15.75" customHeight="1">
      <c r="A18" s="271"/>
      <c r="B18" s="1008" t="s">
        <v>1802</v>
      </c>
      <c r="C18" s="1009"/>
      <c r="D18" s="198" t="s">
        <v>1077</v>
      </c>
      <c r="E18" s="198" t="s">
        <v>1078</v>
      </c>
      <c r="F18" s="198" t="s">
        <v>1660</v>
      </c>
      <c r="G18" s="198" t="s">
        <v>1079</v>
      </c>
      <c r="H18" s="198" t="s">
        <v>1080</v>
      </c>
      <c r="I18" s="198" t="s">
        <v>1081</v>
      </c>
      <c r="J18" s="275"/>
    </row>
    <row r="19" spans="1:12" s="119" customFormat="1" ht="15.75" customHeight="1">
      <c r="A19" s="271"/>
      <c r="B19" s="645" t="s">
        <v>1082</v>
      </c>
      <c r="C19" s="998"/>
      <c r="D19" s="363">
        <v>10065.857364553907</v>
      </c>
      <c r="E19" s="363">
        <v>10680.877663966168</v>
      </c>
      <c r="F19" s="456">
        <f t="shared" ref="F19" si="3">+E19+D19</f>
        <v>20746.735028520074</v>
      </c>
      <c r="G19" s="363">
        <v>10765.182898136882</v>
      </c>
      <c r="H19" s="363">
        <v>11935.291006200958</v>
      </c>
      <c r="I19" s="363">
        <v>13039.542565298472</v>
      </c>
      <c r="J19" s="275"/>
      <c r="K19" s="501"/>
      <c r="L19" s="501"/>
    </row>
    <row r="20" spans="1:12" s="119" customFormat="1" ht="15.75" customHeight="1">
      <c r="A20" s="271"/>
      <c r="B20" s="645" t="s">
        <v>1083</v>
      </c>
      <c r="C20" s="998"/>
      <c r="D20" s="563">
        <v>8.6800000000000002E-2</v>
      </c>
      <c r="E20" s="563">
        <v>8.6800000000000002E-2</v>
      </c>
      <c r="F20" s="564"/>
      <c r="G20" s="563">
        <v>8.6800000000000002E-2</v>
      </c>
      <c r="H20" s="563">
        <v>8.6800000000000002E-2</v>
      </c>
      <c r="I20" s="563">
        <v>8.6800000000000002E-2</v>
      </c>
      <c r="J20" s="275"/>
    </row>
    <row r="21" spans="1:12" s="119" customFormat="1" ht="15.75" customHeight="1">
      <c r="A21" s="271"/>
      <c r="B21" s="1003" t="s">
        <v>1084</v>
      </c>
      <c r="C21" s="1004"/>
      <c r="D21" s="368">
        <v>873.71641924327923</v>
      </c>
      <c r="E21" s="368">
        <v>927.10018123226348</v>
      </c>
      <c r="F21" s="457">
        <f t="shared" ref="F21" si="4">+E21+D21</f>
        <v>1800.8166004755426</v>
      </c>
      <c r="G21" s="368">
        <f t="shared" ref="G21" si="5">G19*G20</f>
        <v>934.41787555828137</v>
      </c>
      <c r="H21" s="368">
        <f>H19*H20</f>
        <v>1035.9832593382432</v>
      </c>
      <c r="I21" s="368">
        <f>I19*I20</f>
        <v>1131.8322946679075</v>
      </c>
      <c r="J21" s="275"/>
    </row>
    <row r="22" spans="1:12" s="119" customFormat="1" ht="15.75" customHeight="1">
      <c r="A22" s="271"/>
      <c r="B22" s="645" t="s">
        <v>1085</v>
      </c>
      <c r="C22" s="998"/>
      <c r="D22" s="567">
        <v>223.93682154629175</v>
      </c>
      <c r="E22" s="567">
        <v>236</v>
      </c>
      <c r="F22" s="568"/>
      <c r="G22" s="567">
        <v>249.75199999999998</v>
      </c>
      <c r="H22" s="567">
        <v>274.14800000000002</v>
      </c>
      <c r="I22" s="567">
        <v>293.06819040000005</v>
      </c>
      <c r="J22" s="275"/>
    </row>
    <row r="23" spans="1:12" s="119" customFormat="1" ht="15.75" customHeight="1">
      <c r="A23" s="103"/>
      <c r="B23" s="276"/>
      <c r="C23" s="276"/>
      <c r="D23" s="276"/>
      <c r="E23" s="276"/>
      <c r="F23" s="276"/>
      <c r="G23" s="276"/>
      <c r="H23" s="276"/>
      <c r="I23" s="276"/>
    </row>
    <row r="24" spans="1:12" hidden="1">
      <c r="B24" s="1008" t="s">
        <v>1435</v>
      </c>
      <c r="C24" s="1009"/>
      <c r="D24" s="198" t="s">
        <v>1077</v>
      </c>
      <c r="E24" s="198" t="s">
        <v>1078</v>
      </c>
      <c r="F24" s="198" t="s">
        <v>1660</v>
      </c>
      <c r="G24" s="198" t="s">
        <v>1079</v>
      </c>
      <c r="H24" s="198" t="s">
        <v>1080</v>
      </c>
      <c r="I24" s="198" t="s">
        <v>1081</v>
      </c>
      <c r="J24" s="163"/>
    </row>
    <row r="25" spans="1:12" hidden="1">
      <c r="B25" s="645" t="s">
        <v>1082</v>
      </c>
      <c r="C25" s="998"/>
      <c r="D25" s="363"/>
      <c r="E25" s="363"/>
      <c r="F25" s="456">
        <f t="shared" ref="F25:F27" si="6">+E25+D25</f>
        <v>0</v>
      </c>
      <c r="G25" s="363"/>
      <c r="H25" s="363"/>
      <c r="I25" s="363"/>
      <c r="J25" s="163"/>
    </row>
    <row r="26" spans="1:12" hidden="1">
      <c r="B26" s="645" t="s">
        <v>1083</v>
      </c>
      <c r="C26" s="998"/>
      <c r="D26" s="363"/>
      <c r="E26" s="363"/>
      <c r="F26" s="257"/>
      <c r="G26" s="363"/>
      <c r="H26" s="363"/>
      <c r="I26" s="363"/>
      <c r="J26" s="163"/>
    </row>
    <row r="27" spans="1:12" hidden="1">
      <c r="B27" s="1003" t="s">
        <v>1084</v>
      </c>
      <c r="C27" s="1004"/>
      <c r="D27" s="368"/>
      <c r="E27" s="368"/>
      <c r="F27" s="457">
        <f t="shared" si="6"/>
        <v>0</v>
      </c>
      <c r="G27" s="368"/>
      <c r="H27" s="368"/>
      <c r="I27" s="368"/>
      <c r="J27" s="163"/>
    </row>
    <row r="28" spans="1:12" hidden="1">
      <c r="B28" s="645" t="s">
        <v>1085</v>
      </c>
      <c r="C28" s="998"/>
      <c r="D28" s="363"/>
      <c r="E28" s="363"/>
      <c r="F28" s="255"/>
      <c r="G28" s="363"/>
      <c r="H28" s="363"/>
      <c r="I28" s="363"/>
      <c r="J28" s="163"/>
    </row>
    <row r="29" spans="1:12" s="119" customFormat="1" ht="15.75" hidden="1" customHeight="1">
      <c r="A29" s="103"/>
      <c r="B29" s="276"/>
      <c r="C29" s="276"/>
      <c r="D29" s="276"/>
      <c r="E29" s="276"/>
      <c r="F29" s="276"/>
      <c r="G29" s="276"/>
      <c r="H29" s="276"/>
      <c r="I29" s="276"/>
    </row>
    <row r="30" spans="1:12" hidden="1">
      <c r="B30" s="1008" t="s">
        <v>1435</v>
      </c>
      <c r="C30" s="1009"/>
      <c r="D30" s="198" t="s">
        <v>1077</v>
      </c>
      <c r="E30" s="198" t="s">
        <v>1078</v>
      </c>
      <c r="F30" s="198" t="s">
        <v>1660</v>
      </c>
      <c r="G30" s="198" t="s">
        <v>1079</v>
      </c>
      <c r="H30" s="198" t="s">
        <v>1080</v>
      </c>
      <c r="I30" s="198" t="s">
        <v>1081</v>
      </c>
      <c r="J30" s="163"/>
    </row>
    <row r="31" spans="1:12" hidden="1">
      <c r="B31" s="645" t="s">
        <v>1082</v>
      </c>
      <c r="C31" s="998"/>
      <c r="D31" s="363"/>
      <c r="E31" s="363"/>
      <c r="F31" s="456">
        <f t="shared" ref="F31:F33" si="7">+E31+D31</f>
        <v>0</v>
      </c>
      <c r="G31" s="363"/>
      <c r="H31" s="363"/>
      <c r="I31" s="363"/>
      <c r="J31" s="163"/>
    </row>
    <row r="32" spans="1:12" hidden="1">
      <c r="B32" s="645" t="s">
        <v>1083</v>
      </c>
      <c r="C32" s="998"/>
      <c r="D32" s="363"/>
      <c r="E32" s="363"/>
      <c r="F32" s="257"/>
      <c r="G32" s="363"/>
      <c r="H32" s="363"/>
      <c r="I32" s="363"/>
      <c r="J32" s="163"/>
    </row>
    <row r="33" spans="1:10" hidden="1">
      <c r="B33" s="1003" t="s">
        <v>1084</v>
      </c>
      <c r="C33" s="1004"/>
      <c r="D33" s="368"/>
      <c r="E33" s="368"/>
      <c r="F33" s="457">
        <f t="shared" si="7"/>
        <v>0</v>
      </c>
      <c r="G33" s="368"/>
      <c r="H33" s="368"/>
      <c r="I33" s="368"/>
      <c r="J33" s="163"/>
    </row>
    <row r="34" spans="1:10" hidden="1">
      <c r="B34" s="645" t="s">
        <v>1085</v>
      </c>
      <c r="C34" s="998"/>
      <c r="D34" s="363"/>
      <c r="E34" s="363"/>
      <c r="F34" s="255"/>
      <c r="G34" s="363"/>
      <c r="H34" s="363"/>
      <c r="I34" s="363"/>
      <c r="J34" s="163"/>
    </row>
    <row r="35" spans="1:10" s="119" customFormat="1" ht="15.75" hidden="1" customHeight="1">
      <c r="A35" s="103"/>
      <c r="B35" s="276"/>
      <c r="C35" s="276"/>
      <c r="D35" s="276"/>
      <c r="E35" s="276"/>
      <c r="F35" s="276"/>
      <c r="G35" s="276"/>
      <c r="H35" s="276"/>
      <c r="I35" s="276"/>
    </row>
    <row r="36" spans="1:10" hidden="1">
      <c r="B36" s="1008" t="s">
        <v>1435</v>
      </c>
      <c r="C36" s="1009"/>
      <c r="D36" s="198" t="s">
        <v>1077</v>
      </c>
      <c r="E36" s="198" t="s">
        <v>1078</v>
      </c>
      <c r="F36" s="198" t="s">
        <v>1660</v>
      </c>
      <c r="G36" s="198" t="s">
        <v>1079</v>
      </c>
      <c r="H36" s="198" t="s">
        <v>1080</v>
      </c>
      <c r="I36" s="198" t="s">
        <v>1081</v>
      </c>
      <c r="J36" s="163"/>
    </row>
    <row r="37" spans="1:10" hidden="1">
      <c r="B37" s="645" t="s">
        <v>1082</v>
      </c>
      <c r="C37" s="998"/>
      <c r="D37" s="363"/>
      <c r="E37" s="363"/>
      <c r="F37" s="456">
        <f t="shared" ref="F37:F39" si="8">+E37+D37</f>
        <v>0</v>
      </c>
      <c r="G37" s="363"/>
      <c r="H37" s="363"/>
      <c r="I37" s="363"/>
      <c r="J37" s="163"/>
    </row>
    <row r="38" spans="1:10" hidden="1">
      <c r="B38" s="645" t="s">
        <v>1083</v>
      </c>
      <c r="C38" s="998"/>
      <c r="D38" s="363"/>
      <c r="E38" s="363"/>
      <c r="F38" s="257"/>
      <c r="G38" s="363"/>
      <c r="H38" s="363"/>
      <c r="I38" s="363"/>
      <c r="J38" s="163"/>
    </row>
    <row r="39" spans="1:10" hidden="1">
      <c r="B39" s="1003" t="s">
        <v>1084</v>
      </c>
      <c r="C39" s="1004"/>
      <c r="D39" s="368"/>
      <c r="E39" s="368"/>
      <c r="F39" s="457">
        <f t="shared" si="8"/>
        <v>0</v>
      </c>
      <c r="G39" s="368"/>
      <c r="H39" s="368"/>
      <c r="I39" s="368"/>
      <c r="J39" s="163"/>
    </row>
    <row r="40" spans="1:10" hidden="1">
      <c r="B40" s="645" t="s">
        <v>1085</v>
      </c>
      <c r="C40" s="998"/>
      <c r="D40" s="363"/>
      <c r="E40" s="363"/>
      <c r="F40" s="255"/>
      <c r="G40" s="363"/>
      <c r="H40" s="363"/>
      <c r="I40" s="363"/>
      <c r="J40" s="163"/>
    </row>
    <row r="41" spans="1:10" s="119" customFormat="1" ht="15.75" hidden="1" customHeight="1">
      <c r="A41" s="103"/>
      <c r="B41" s="276"/>
      <c r="C41" s="276"/>
      <c r="D41" s="276"/>
      <c r="E41" s="276"/>
      <c r="F41" s="276"/>
      <c r="G41" s="276"/>
      <c r="H41" s="276"/>
      <c r="I41" s="276"/>
    </row>
    <row r="42" spans="1:10" hidden="1">
      <c r="B42" s="1008" t="s">
        <v>1435</v>
      </c>
      <c r="C42" s="1009"/>
      <c r="D42" s="198" t="s">
        <v>1077</v>
      </c>
      <c r="E42" s="198" t="s">
        <v>1078</v>
      </c>
      <c r="F42" s="198" t="s">
        <v>1660</v>
      </c>
      <c r="G42" s="198" t="s">
        <v>1079</v>
      </c>
      <c r="H42" s="198" t="s">
        <v>1080</v>
      </c>
      <c r="I42" s="198" t="s">
        <v>1081</v>
      </c>
      <c r="J42" s="163"/>
    </row>
    <row r="43" spans="1:10" hidden="1">
      <c r="B43" s="645" t="s">
        <v>1082</v>
      </c>
      <c r="C43" s="998"/>
      <c r="D43" s="363"/>
      <c r="E43" s="363"/>
      <c r="F43" s="456">
        <f t="shared" ref="F43:F45" si="9">+E43+D43</f>
        <v>0</v>
      </c>
      <c r="G43" s="363"/>
      <c r="H43" s="363"/>
      <c r="I43" s="363"/>
      <c r="J43" s="163"/>
    </row>
    <row r="44" spans="1:10" hidden="1">
      <c r="B44" s="645" t="s">
        <v>1083</v>
      </c>
      <c r="C44" s="998"/>
      <c r="D44" s="363"/>
      <c r="E44" s="363"/>
      <c r="F44" s="257"/>
      <c r="G44" s="363"/>
      <c r="H44" s="363"/>
      <c r="I44" s="363"/>
      <c r="J44" s="163"/>
    </row>
    <row r="45" spans="1:10" hidden="1">
      <c r="B45" s="1003" t="s">
        <v>1084</v>
      </c>
      <c r="C45" s="1004"/>
      <c r="D45" s="368"/>
      <c r="E45" s="368"/>
      <c r="F45" s="457">
        <f t="shared" si="9"/>
        <v>0</v>
      </c>
      <c r="G45" s="368"/>
      <c r="H45" s="368"/>
      <c r="I45" s="368"/>
      <c r="J45" s="163"/>
    </row>
    <row r="46" spans="1:10" hidden="1">
      <c r="B46" s="645" t="s">
        <v>1085</v>
      </c>
      <c r="C46" s="998"/>
      <c r="D46" s="363"/>
      <c r="E46" s="363"/>
      <c r="F46" s="255"/>
      <c r="G46" s="363"/>
      <c r="H46" s="363"/>
      <c r="I46" s="363"/>
      <c r="J46" s="163"/>
    </row>
    <row r="47" spans="1:10" s="119" customFormat="1" ht="15.75" customHeight="1">
      <c r="A47" s="103"/>
      <c r="B47" s="276"/>
      <c r="C47" s="276"/>
      <c r="D47" s="276"/>
      <c r="E47" s="276"/>
      <c r="F47" s="276"/>
      <c r="G47" s="276"/>
      <c r="H47" s="276"/>
      <c r="I47" s="276"/>
    </row>
    <row r="48" spans="1:10" s="119" customFormat="1" ht="30" customHeight="1">
      <c r="A48" s="271"/>
      <c r="B48" s="654" t="s">
        <v>1437</v>
      </c>
      <c r="C48" s="655"/>
      <c r="D48" s="655"/>
      <c r="E48" s="655"/>
      <c r="F48" s="655"/>
      <c r="G48" s="655"/>
      <c r="H48" s="655"/>
      <c r="I48" s="655"/>
      <c r="J48" s="275"/>
    </row>
    <row r="49" spans="1:12" s="119" customFormat="1" ht="60" customHeight="1">
      <c r="A49" s="271"/>
      <c r="B49" s="1005" t="s">
        <v>1855</v>
      </c>
      <c r="C49" s="1006"/>
      <c r="D49" s="1006"/>
      <c r="E49" s="1006"/>
      <c r="F49" s="1006"/>
      <c r="G49" s="1006"/>
      <c r="H49" s="1006"/>
      <c r="I49" s="1006"/>
      <c r="J49" s="275"/>
    </row>
    <row r="50" spans="1:12" s="119" customFormat="1" ht="15.75" customHeight="1">
      <c r="A50" s="103"/>
      <c r="B50" s="276"/>
      <c r="C50" s="276"/>
      <c r="D50" s="276"/>
      <c r="E50" s="276"/>
      <c r="F50" s="276"/>
      <c r="G50" s="276"/>
      <c r="H50" s="276"/>
      <c r="I50" s="276"/>
    </row>
    <row r="51" spans="1:12" s="119" customFormat="1">
      <c r="A51" s="271"/>
      <c r="B51" s="654" t="s">
        <v>1438</v>
      </c>
      <c r="C51" s="655"/>
      <c r="D51" s="655"/>
      <c r="E51" s="655"/>
      <c r="F51" s="655"/>
      <c r="G51" s="655"/>
      <c r="H51" s="655"/>
      <c r="I51" s="655"/>
      <c r="J51" s="275"/>
    </row>
    <row r="52" spans="1:12" s="119" customFormat="1" ht="60" customHeight="1">
      <c r="A52" s="271"/>
      <c r="B52" s="1005" t="s">
        <v>1855</v>
      </c>
      <c r="C52" s="1006"/>
      <c r="D52" s="1006"/>
      <c r="E52" s="1006"/>
      <c r="F52" s="1006"/>
      <c r="G52" s="1006"/>
      <c r="H52" s="1006"/>
      <c r="I52" s="1006"/>
      <c r="J52" s="275"/>
    </row>
    <row r="53" spans="1:12" s="119" customFormat="1" ht="15.75" customHeight="1">
      <c r="A53" s="103"/>
      <c r="B53" s="276"/>
      <c r="C53" s="276"/>
      <c r="D53" s="276"/>
      <c r="E53" s="276"/>
      <c r="F53" s="276"/>
      <c r="G53" s="276"/>
      <c r="H53" s="276"/>
      <c r="I53" s="276"/>
    </row>
    <row r="54" spans="1:12" s="119" customFormat="1" ht="30" customHeight="1">
      <c r="A54" s="271"/>
      <c r="B54" s="654" t="s">
        <v>1436</v>
      </c>
      <c r="C54" s="655"/>
      <c r="D54" s="655"/>
      <c r="E54" s="655"/>
      <c r="F54" s="655"/>
      <c r="G54" s="655"/>
      <c r="H54" s="655"/>
      <c r="I54" s="655"/>
      <c r="J54" s="275"/>
    </row>
    <row r="55" spans="1:12" s="119" customFormat="1" ht="60" customHeight="1">
      <c r="A55" s="271"/>
      <c r="B55" s="1005" t="s">
        <v>1850</v>
      </c>
      <c r="C55" s="1006"/>
      <c r="D55" s="1006"/>
      <c r="E55" s="1006"/>
      <c r="F55" s="1006"/>
      <c r="G55" s="1006"/>
      <c r="H55" s="1006"/>
      <c r="I55" s="1006"/>
      <c r="J55" s="275"/>
    </row>
    <row r="56" spans="1:12">
      <c r="B56" s="276"/>
      <c r="C56" s="276"/>
      <c r="D56" s="237"/>
      <c r="E56" s="237"/>
      <c r="F56" s="237"/>
      <c r="G56" s="237"/>
      <c r="H56" s="237"/>
      <c r="I56" s="237"/>
    </row>
    <row r="57" spans="1:12" s="119" customFormat="1" ht="15.75" hidden="1" customHeight="1">
      <c r="A57" s="103"/>
      <c r="B57" s="50" t="s">
        <v>1450</v>
      </c>
      <c r="C57" s="274"/>
      <c r="D57" s="32"/>
      <c r="E57" s="32"/>
      <c r="F57" s="32"/>
      <c r="G57" s="32"/>
      <c r="H57" s="32"/>
      <c r="I57" s="32"/>
      <c r="J57" s="103"/>
      <c r="K57" s="103"/>
      <c r="L57" s="103"/>
    </row>
    <row r="58" spans="1:12" s="119" customFormat="1" ht="15.75" hidden="1" customHeight="1">
      <c r="A58" s="103"/>
      <c r="B58" s="118"/>
      <c r="C58" s="118"/>
      <c r="D58" s="118"/>
      <c r="E58" s="118"/>
      <c r="F58" s="118"/>
      <c r="G58" s="118"/>
      <c r="H58" s="118"/>
      <c r="I58" s="118"/>
    </row>
    <row r="59" spans="1:12" s="119" customFormat="1" ht="15.75" hidden="1" customHeight="1">
      <c r="A59" s="271"/>
      <c r="B59" s="1014" t="s">
        <v>1434</v>
      </c>
      <c r="C59" s="1015"/>
      <c r="D59" s="1015"/>
      <c r="E59" s="1015"/>
      <c r="F59" s="1015"/>
      <c r="G59" s="1015"/>
      <c r="H59" s="849" t="s">
        <v>1786</v>
      </c>
      <c r="I59" s="850"/>
      <c r="J59" s="275"/>
    </row>
    <row r="60" spans="1:12" hidden="1">
      <c r="B60" s="280"/>
      <c r="C60" s="276"/>
      <c r="D60" s="237"/>
      <c r="E60" s="237"/>
      <c r="F60" s="237"/>
      <c r="G60" s="237"/>
      <c r="H60" s="237"/>
      <c r="I60" s="237"/>
    </row>
    <row r="61" spans="1:12" hidden="1">
      <c r="B61" s="1008" t="s">
        <v>1802</v>
      </c>
      <c r="C61" s="1009"/>
      <c r="D61" s="198" t="s">
        <v>1077</v>
      </c>
      <c r="E61" s="198" t="s">
        <v>1078</v>
      </c>
      <c r="F61" s="198" t="s">
        <v>1660</v>
      </c>
      <c r="G61" s="198" t="s">
        <v>1079</v>
      </c>
      <c r="H61" s="198" t="s">
        <v>1080</v>
      </c>
      <c r="I61" s="198" t="s">
        <v>1081</v>
      </c>
      <c r="J61" s="163"/>
    </row>
    <row r="62" spans="1:12" hidden="1">
      <c r="B62" s="645" t="s">
        <v>1082</v>
      </c>
      <c r="C62" s="998"/>
      <c r="D62" s="492"/>
      <c r="E62" s="492"/>
      <c r="F62" s="456"/>
      <c r="G62" s="492"/>
      <c r="H62" s="492"/>
      <c r="I62" s="492"/>
      <c r="J62" s="163"/>
    </row>
    <row r="63" spans="1:12" hidden="1">
      <c r="B63" s="645" t="s">
        <v>1083</v>
      </c>
      <c r="C63" s="998"/>
      <c r="D63" s="491"/>
      <c r="E63" s="491"/>
      <c r="F63" s="257"/>
      <c r="G63" s="491"/>
      <c r="H63" s="491"/>
      <c r="I63" s="491"/>
      <c r="J63" s="163"/>
    </row>
    <row r="64" spans="1:12" hidden="1">
      <c r="B64" s="1003" t="s">
        <v>1084</v>
      </c>
      <c r="C64" s="1004"/>
      <c r="D64" s="493"/>
      <c r="E64" s="493"/>
      <c r="F64" s="457"/>
      <c r="G64" s="493"/>
      <c r="H64" s="493"/>
      <c r="I64" s="493"/>
      <c r="J64" s="163"/>
    </row>
    <row r="65" spans="2:10" hidden="1">
      <c r="B65" s="645" t="s">
        <v>1085</v>
      </c>
      <c r="C65" s="998"/>
      <c r="D65" s="492"/>
      <c r="E65" s="492"/>
      <c r="F65" s="255"/>
      <c r="G65" s="492"/>
      <c r="H65" s="492"/>
      <c r="I65" s="492"/>
      <c r="J65" s="163"/>
    </row>
    <row r="66" spans="2:10" hidden="1">
      <c r="B66" s="237"/>
      <c r="C66" s="237"/>
      <c r="D66" s="237"/>
      <c r="E66" s="237"/>
      <c r="F66" s="237"/>
      <c r="G66" s="237"/>
      <c r="H66" s="237"/>
      <c r="I66" s="237"/>
    </row>
    <row r="67" spans="2:10" hidden="1">
      <c r="B67" s="1008" t="s">
        <v>1435</v>
      </c>
      <c r="C67" s="1009"/>
      <c r="D67" s="198" t="s">
        <v>1077</v>
      </c>
      <c r="E67" s="198" t="s">
        <v>1078</v>
      </c>
      <c r="F67" s="198" t="s">
        <v>1660</v>
      </c>
      <c r="G67" s="198" t="s">
        <v>1079</v>
      </c>
      <c r="H67" s="198" t="s">
        <v>1080</v>
      </c>
      <c r="I67" s="198" t="s">
        <v>1081</v>
      </c>
      <c r="J67" s="163"/>
    </row>
    <row r="68" spans="2:10" hidden="1">
      <c r="B68" s="645" t="s">
        <v>1082</v>
      </c>
      <c r="C68" s="998"/>
      <c r="D68" s="363"/>
      <c r="E68" s="363"/>
      <c r="F68" s="456">
        <f t="shared" ref="F68:F70" si="10">+E68+D68</f>
        <v>0</v>
      </c>
      <c r="G68" s="363"/>
      <c r="H68" s="363"/>
      <c r="I68" s="363"/>
      <c r="J68" s="163"/>
    </row>
    <row r="69" spans="2:10" hidden="1">
      <c r="B69" s="645" t="s">
        <v>1083</v>
      </c>
      <c r="C69" s="998"/>
      <c r="D69" s="363"/>
      <c r="E69" s="363"/>
      <c r="F69" s="257"/>
      <c r="G69" s="363"/>
      <c r="H69" s="363"/>
      <c r="I69" s="363"/>
      <c r="J69" s="163"/>
    </row>
    <row r="70" spans="2:10" hidden="1">
      <c r="B70" s="1003" t="s">
        <v>1084</v>
      </c>
      <c r="C70" s="1004"/>
      <c r="D70" s="368"/>
      <c r="E70" s="368"/>
      <c r="F70" s="457">
        <f t="shared" si="10"/>
        <v>0</v>
      </c>
      <c r="G70" s="368"/>
      <c r="H70" s="368"/>
      <c r="I70" s="368"/>
      <c r="J70" s="163"/>
    </row>
    <row r="71" spans="2:10" hidden="1">
      <c r="B71" s="645" t="s">
        <v>1085</v>
      </c>
      <c r="C71" s="998"/>
      <c r="D71" s="363"/>
      <c r="E71" s="363"/>
      <c r="F71" s="255"/>
      <c r="G71" s="363"/>
      <c r="H71" s="363"/>
      <c r="I71" s="363"/>
      <c r="J71" s="163"/>
    </row>
    <row r="72" spans="2:10" hidden="1">
      <c r="B72" s="237"/>
      <c r="C72" s="237"/>
      <c r="D72" s="237"/>
      <c r="E72" s="237"/>
      <c r="F72" s="237"/>
      <c r="G72" s="237"/>
      <c r="H72" s="237"/>
      <c r="I72" s="237"/>
    </row>
    <row r="73" spans="2:10" hidden="1">
      <c r="B73" s="1008" t="s">
        <v>1435</v>
      </c>
      <c r="C73" s="1009"/>
      <c r="D73" s="198" t="s">
        <v>1077</v>
      </c>
      <c r="E73" s="198" t="s">
        <v>1078</v>
      </c>
      <c r="F73" s="198" t="s">
        <v>1660</v>
      </c>
      <c r="G73" s="198" t="s">
        <v>1079</v>
      </c>
      <c r="H73" s="198" t="s">
        <v>1080</v>
      </c>
      <c r="I73" s="198" t="s">
        <v>1081</v>
      </c>
      <c r="J73" s="163"/>
    </row>
    <row r="74" spans="2:10" hidden="1">
      <c r="B74" s="645" t="s">
        <v>1082</v>
      </c>
      <c r="C74" s="998"/>
      <c r="D74" s="363"/>
      <c r="E74" s="363"/>
      <c r="F74" s="456">
        <f t="shared" ref="F74:F76" si="11">+E74+D74</f>
        <v>0</v>
      </c>
      <c r="G74" s="363"/>
      <c r="H74" s="363"/>
      <c r="I74" s="363"/>
      <c r="J74" s="163"/>
    </row>
    <row r="75" spans="2:10" hidden="1">
      <c r="B75" s="645" t="s">
        <v>1083</v>
      </c>
      <c r="C75" s="998"/>
      <c r="D75" s="363"/>
      <c r="E75" s="363"/>
      <c r="F75" s="257"/>
      <c r="G75" s="363"/>
      <c r="H75" s="363"/>
      <c r="I75" s="363"/>
      <c r="J75" s="163"/>
    </row>
    <row r="76" spans="2:10" hidden="1">
      <c r="B76" s="1003" t="s">
        <v>1084</v>
      </c>
      <c r="C76" s="1004"/>
      <c r="D76" s="368"/>
      <c r="E76" s="368"/>
      <c r="F76" s="457">
        <f t="shared" si="11"/>
        <v>0</v>
      </c>
      <c r="G76" s="368"/>
      <c r="H76" s="368"/>
      <c r="I76" s="368"/>
      <c r="J76" s="163"/>
    </row>
    <row r="77" spans="2:10" hidden="1">
      <c r="B77" s="645" t="s">
        <v>1085</v>
      </c>
      <c r="C77" s="998"/>
      <c r="D77" s="363"/>
      <c r="E77" s="363"/>
      <c r="F77" s="255"/>
      <c r="G77" s="363"/>
      <c r="H77" s="363"/>
      <c r="I77" s="363"/>
      <c r="J77" s="163"/>
    </row>
    <row r="78" spans="2:10" hidden="1">
      <c r="B78" s="237"/>
      <c r="C78" s="237"/>
      <c r="D78" s="237"/>
      <c r="E78" s="237"/>
      <c r="F78" s="237"/>
      <c r="G78" s="237"/>
      <c r="H78" s="237"/>
      <c r="I78" s="237"/>
    </row>
    <row r="79" spans="2:10" hidden="1">
      <c r="B79" s="1008" t="s">
        <v>1435</v>
      </c>
      <c r="C79" s="1009"/>
      <c r="D79" s="198" t="s">
        <v>1077</v>
      </c>
      <c r="E79" s="198" t="s">
        <v>1078</v>
      </c>
      <c r="F79" s="198" t="s">
        <v>1660</v>
      </c>
      <c r="G79" s="198" t="s">
        <v>1079</v>
      </c>
      <c r="H79" s="198" t="s">
        <v>1080</v>
      </c>
      <c r="I79" s="198" t="s">
        <v>1081</v>
      </c>
      <c r="J79" s="163"/>
    </row>
    <row r="80" spans="2:10" hidden="1">
      <c r="B80" s="645" t="s">
        <v>1082</v>
      </c>
      <c r="C80" s="998"/>
      <c r="D80" s="363"/>
      <c r="E80" s="363"/>
      <c r="F80" s="456">
        <f t="shared" ref="F80:F82" si="12">+E80+D80</f>
        <v>0</v>
      </c>
      <c r="G80" s="363"/>
      <c r="H80" s="363"/>
      <c r="I80" s="363"/>
      <c r="J80" s="163"/>
    </row>
    <row r="81" spans="1:10" hidden="1">
      <c r="B81" s="645" t="s">
        <v>1083</v>
      </c>
      <c r="C81" s="998"/>
      <c r="D81" s="363"/>
      <c r="E81" s="363"/>
      <c r="F81" s="257"/>
      <c r="G81" s="363"/>
      <c r="H81" s="363"/>
      <c r="I81" s="363"/>
      <c r="J81" s="163"/>
    </row>
    <row r="82" spans="1:10" hidden="1">
      <c r="B82" s="1003" t="s">
        <v>1084</v>
      </c>
      <c r="C82" s="1004"/>
      <c r="D82" s="368"/>
      <c r="E82" s="368"/>
      <c r="F82" s="457">
        <f t="shared" si="12"/>
        <v>0</v>
      </c>
      <c r="G82" s="368"/>
      <c r="H82" s="368"/>
      <c r="I82" s="368"/>
      <c r="J82" s="163"/>
    </row>
    <row r="83" spans="1:10" hidden="1">
      <c r="B83" s="645" t="s">
        <v>1085</v>
      </c>
      <c r="C83" s="998"/>
      <c r="D83" s="363"/>
      <c r="E83" s="363"/>
      <c r="F83" s="255"/>
      <c r="G83" s="363"/>
      <c r="H83" s="363"/>
      <c r="I83" s="363"/>
      <c r="J83" s="163"/>
    </row>
    <row r="84" spans="1:10" hidden="1">
      <c r="B84" s="237"/>
      <c r="C84" s="237"/>
      <c r="D84" s="237"/>
      <c r="E84" s="237"/>
      <c r="F84" s="237"/>
      <c r="G84" s="237"/>
      <c r="H84" s="237"/>
      <c r="I84" s="237"/>
    </row>
    <row r="85" spans="1:10" hidden="1">
      <c r="B85" s="1008" t="s">
        <v>1435</v>
      </c>
      <c r="C85" s="1009"/>
      <c r="D85" s="198" t="s">
        <v>1077</v>
      </c>
      <c r="E85" s="198" t="s">
        <v>1078</v>
      </c>
      <c r="F85" s="198" t="s">
        <v>1660</v>
      </c>
      <c r="G85" s="198" t="s">
        <v>1079</v>
      </c>
      <c r="H85" s="198" t="s">
        <v>1080</v>
      </c>
      <c r="I85" s="282" t="s">
        <v>1081</v>
      </c>
      <c r="J85" s="163"/>
    </row>
    <row r="86" spans="1:10" hidden="1">
      <c r="B86" s="645" t="s">
        <v>1082</v>
      </c>
      <c r="C86" s="998"/>
      <c r="D86" s="363"/>
      <c r="E86" s="363"/>
      <c r="F86" s="456">
        <f t="shared" ref="F86:F88" si="13">+E86+D86</f>
        <v>0</v>
      </c>
      <c r="G86" s="363"/>
      <c r="H86" s="363"/>
      <c r="I86" s="363"/>
      <c r="J86" s="163"/>
    </row>
    <row r="87" spans="1:10" hidden="1">
      <c r="B87" s="645" t="s">
        <v>1083</v>
      </c>
      <c r="C87" s="998"/>
      <c r="D87" s="363"/>
      <c r="E87" s="363"/>
      <c r="F87" s="257"/>
      <c r="G87" s="363"/>
      <c r="H87" s="363"/>
      <c r="I87" s="363"/>
      <c r="J87" s="163"/>
    </row>
    <row r="88" spans="1:10" hidden="1">
      <c r="B88" s="1003" t="s">
        <v>1084</v>
      </c>
      <c r="C88" s="1004"/>
      <c r="D88" s="368"/>
      <c r="E88" s="368"/>
      <c r="F88" s="457">
        <f t="shared" si="13"/>
        <v>0</v>
      </c>
      <c r="G88" s="368"/>
      <c r="H88" s="368"/>
      <c r="I88" s="368"/>
      <c r="J88" s="163"/>
    </row>
    <row r="89" spans="1:10" hidden="1">
      <c r="B89" s="996" t="s">
        <v>1085</v>
      </c>
      <c r="C89" s="1007"/>
      <c r="D89" s="363"/>
      <c r="E89" s="363"/>
      <c r="F89" s="255"/>
      <c r="G89" s="363"/>
      <c r="H89" s="363"/>
      <c r="I89" s="363"/>
      <c r="J89" s="163"/>
    </row>
    <row r="90" spans="1:10" hidden="1"/>
    <row r="91" spans="1:10" s="119" customFormat="1" ht="30" hidden="1" customHeight="1">
      <c r="A91" s="271"/>
      <c r="B91" s="654" t="s">
        <v>1437</v>
      </c>
      <c r="C91" s="655"/>
      <c r="D91" s="655"/>
      <c r="E91" s="655"/>
      <c r="F91" s="655"/>
      <c r="G91" s="655"/>
      <c r="H91" s="655"/>
      <c r="I91" s="655"/>
      <c r="J91" s="275"/>
    </row>
    <row r="92" spans="1:10" s="119" customFormat="1" ht="60" hidden="1" customHeight="1">
      <c r="A92" s="271"/>
      <c r="B92" s="999"/>
      <c r="C92" s="657"/>
      <c r="D92" s="657"/>
      <c r="E92" s="657"/>
      <c r="F92" s="657"/>
      <c r="G92" s="657"/>
      <c r="H92" s="657"/>
      <c r="I92" s="657"/>
      <c r="J92" s="275"/>
    </row>
    <row r="93" spans="1:10" s="119" customFormat="1" ht="15.75" hidden="1" customHeight="1">
      <c r="A93" s="103"/>
      <c r="B93" s="276"/>
      <c r="C93" s="276"/>
      <c r="D93" s="276"/>
      <c r="E93" s="276"/>
      <c r="F93" s="276"/>
      <c r="G93" s="276"/>
      <c r="H93" s="276"/>
      <c r="I93" s="276"/>
    </row>
    <row r="94" spans="1:10" s="119" customFormat="1" ht="15.75" hidden="1" customHeight="1">
      <c r="A94" s="271"/>
      <c r="B94" s="654" t="s">
        <v>1438</v>
      </c>
      <c r="C94" s="655"/>
      <c r="D94" s="655"/>
      <c r="E94" s="655"/>
      <c r="F94" s="655"/>
      <c r="G94" s="655"/>
      <c r="H94" s="655"/>
      <c r="I94" s="655"/>
      <c r="J94" s="275"/>
    </row>
    <row r="95" spans="1:10" s="119" customFormat="1" ht="60" hidden="1" customHeight="1">
      <c r="A95" s="271"/>
      <c r="B95" s="999"/>
      <c r="C95" s="657"/>
      <c r="D95" s="657"/>
      <c r="E95" s="657"/>
      <c r="F95" s="657"/>
      <c r="G95" s="657"/>
      <c r="H95" s="657"/>
      <c r="I95" s="657"/>
      <c r="J95" s="275"/>
    </row>
    <row r="96" spans="1:10" s="119" customFormat="1" ht="15.75" hidden="1" customHeight="1">
      <c r="A96" s="103"/>
      <c r="B96" s="276"/>
      <c r="C96" s="276"/>
      <c r="D96" s="276"/>
      <c r="E96" s="276"/>
      <c r="F96" s="276"/>
      <c r="G96" s="276"/>
      <c r="H96" s="276"/>
      <c r="I96" s="276"/>
    </row>
    <row r="97" spans="1:12" s="119" customFormat="1" ht="30" hidden="1" customHeight="1">
      <c r="A97" s="271"/>
      <c r="B97" s="654" t="s">
        <v>1436</v>
      </c>
      <c r="C97" s="655"/>
      <c r="D97" s="655"/>
      <c r="E97" s="655"/>
      <c r="F97" s="655"/>
      <c r="G97" s="655"/>
      <c r="H97" s="655"/>
      <c r="I97" s="655"/>
      <c r="J97" s="275"/>
    </row>
    <row r="98" spans="1:12" s="119" customFormat="1" ht="60" hidden="1" customHeight="1">
      <c r="A98" s="271"/>
      <c r="B98" s="999"/>
      <c r="C98" s="657"/>
      <c r="D98" s="657"/>
      <c r="E98" s="657"/>
      <c r="F98" s="657"/>
      <c r="G98" s="657"/>
      <c r="H98" s="657"/>
      <c r="I98" s="657"/>
      <c r="J98" s="275"/>
    </row>
    <row r="99" spans="1:12">
      <c r="B99" s="276"/>
      <c r="C99" s="276"/>
      <c r="D99" s="237"/>
      <c r="E99" s="237"/>
      <c r="F99" s="237"/>
      <c r="G99" s="237"/>
      <c r="H99" s="237"/>
      <c r="I99" s="237"/>
    </row>
    <row r="100" spans="1:12" s="119" customFormat="1" ht="15.75" customHeight="1">
      <c r="A100" s="103"/>
      <c r="B100" s="50" t="s">
        <v>1451</v>
      </c>
      <c r="C100" s="274"/>
      <c r="D100" s="32"/>
      <c r="E100" s="32"/>
      <c r="F100" s="32"/>
      <c r="G100" s="32"/>
      <c r="H100" s="32"/>
      <c r="I100" s="32"/>
      <c r="J100" s="103"/>
      <c r="K100" s="103"/>
      <c r="L100" s="103"/>
    </row>
    <row r="101" spans="1:12" s="119" customFormat="1" ht="15.75" customHeight="1">
      <c r="A101" s="103"/>
      <c r="B101" s="118"/>
      <c r="C101" s="118"/>
      <c r="D101" s="118"/>
      <c r="E101" s="118"/>
      <c r="F101" s="118"/>
      <c r="G101" s="118"/>
      <c r="H101" s="118"/>
      <c r="I101" s="118"/>
    </row>
    <row r="102" spans="1:12" s="119" customFormat="1">
      <c r="A102" s="271"/>
      <c r="B102" s="1016" t="s">
        <v>1097</v>
      </c>
      <c r="C102" s="1017"/>
      <c r="D102" s="1017"/>
      <c r="E102" s="1017"/>
      <c r="F102" s="1017"/>
      <c r="G102" s="1017"/>
      <c r="H102" s="849" t="s">
        <v>339</v>
      </c>
      <c r="I102" s="850"/>
      <c r="J102" s="275"/>
    </row>
    <row r="103" spans="1:12" s="119" customFormat="1">
      <c r="A103" s="271"/>
      <c r="B103" s="1016" t="s">
        <v>1096</v>
      </c>
      <c r="C103" s="1017"/>
      <c r="D103" s="1017"/>
      <c r="E103" s="1017"/>
      <c r="F103" s="1017"/>
      <c r="G103" s="1017"/>
      <c r="H103" s="849" t="s">
        <v>1786</v>
      </c>
      <c r="I103" s="850"/>
      <c r="J103" s="275"/>
    </row>
    <row r="104" spans="1:12" hidden="1">
      <c r="B104" s="237"/>
      <c r="C104" s="237"/>
      <c r="D104" s="237"/>
      <c r="E104" s="237"/>
      <c r="F104" s="237"/>
      <c r="G104" s="237"/>
      <c r="H104" s="237"/>
      <c r="I104" s="237"/>
    </row>
    <row r="105" spans="1:12" hidden="1">
      <c r="B105" s="645"/>
      <c r="C105" s="998"/>
      <c r="D105" s="198" t="s">
        <v>1077</v>
      </c>
      <c r="E105" s="198" t="s">
        <v>1078</v>
      </c>
      <c r="F105" s="198" t="s">
        <v>1660</v>
      </c>
      <c r="G105" s="198" t="s">
        <v>1079</v>
      </c>
      <c r="H105" s="198" t="s">
        <v>1080</v>
      </c>
      <c r="I105" s="198" t="s">
        <v>1081</v>
      </c>
      <c r="J105" s="163"/>
    </row>
    <row r="106" spans="1:12" hidden="1">
      <c r="B106" s="645" t="s">
        <v>1082</v>
      </c>
      <c r="C106" s="998"/>
      <c r="D106" s="363"/>
      <c r="E106" s="363"/>
      <c r="F106" s="456">
        <f t="shared" ref="F106:F111" si="14">+E106+D106</f>
        <v>0</v>
      </c>
      <c r="G106" s="363"/>
      <c r="H106" s="363"/>
      <c r="I106" s="363"/>
      <c r="J106" s="163"/>
    </row>
    <row r="107" spans="1:12" hidden="1">
      <c r="B107" s="1003" t="s">
        <v>1084</v>
      </c>
      <c r="C107" s="1004"/>
      <c r="D107" s="368"/>
      <c r="E107" s="368"/>
      <c r="F107" s="456">
        <f t="shared" si="14"/>
        <v>0</v>
      </c>
      <c r="G107" s="368"/>
      <c r="H107" s="368"/>
      <c r="I107" s="368"/>
      <c r="J107" s="163"/>
    </row>
    <row r="108" spans="1:12" hidden="1">
      <c r="B108" s="1012" t="s">
        <v>1086</v>
      </c>
      <c r="C108" s="1013"/>
      <c r="D108" s="363"/>
      <c r="E108" s="363"/>
      <c r="F108" s="456">
        <f t="shared" si="14"/>
        <v>0</v>
      </c>
      <c r="G108" s="363"/>
      <c r="H108" s="363"/>
      <c r="I108" s="363"/>
      <c r="J108" s="163"/>
    </row>
    <row r="109" spans="1:12" hidden="1">
      <c r="B109" s="1012" t="s">
        <v>1087</v>
      </c>
      <c r="C109" s="1013"/>
      <c r="D109" s="363"/>
      <c r="E109" s="363"/>
      <c r="F109" s="456">
        <f t="shared" si="14"/>
        <v>0</v>
      </c>
      <c r="G109" s="363"/>
      <c r="H109" s="363"/>
      <c r="I109" s="363"/>
      <c r="J109" s="163"/>
    </row>
    <row r="110" spans="1:12" hidden="1">
      <c r="B110" s="1012" t="s">
        <v>1088</v>
      </c>
      <c r="C110" s="1013"/>
      <c r="D110" s="363"/>
      <c r="E110" s="363"/>
      <c r="F110" s="456">
        <f t="shared" si="14"/>
        <v>0</v>
      </c>
      <c r="G110" s="363"/>
      <c r="H110" s="363"/>
      <c r="I110" s="363"/>
      <c r="J110" s="163"/>
    </row>
    <row r="111" spans="1:12" ht="30" hidden="1" customHeight="1">
      <c r="B111" s="804" t="s">
        <v>1089</v>
      </c>
      <c r="C111" s="805"/>
      <c r="D111" s="363"/>
      <c r="E111" s="363"/>
      <c r="F111" s="456">
        <f t="shared" si="14"/>
        <v>0</v>
      </c>
      <c r="G111" s="363"/>
      <c r="H111" s="363"/>
      <c r="I111" s="363"/>
      <c r="J111" s="163"/>
    </row>
    <row r="112" spans="1:12" hidden="1">
      <c r="B112" s="1003" t="s">
        <v>1090</v>
      </c>
      <c r="C112" s="1004"/>
      <c r="D112" s="1004"/>
      <c r="E112" s="1004"/>
      <c r="F112" s="1004"/>
      <c r="G112" s="1004"/>
      <c r="H112" s="1004"/>
      <c r="I112" s="1004"/>
      <c r="J112" s="163"/>
    </row>
    <row r="113" spans="1:10" hidden="1">
      <c r="B113" s="1012" t="s">
        <v>1091</v>
      </c>
      <c r="C113" s="1013"/>
      <c r="D113" s="279"/>
      <c r="E113" s="279"/>
      <c r="F113" s="255"/>
      <c r="G113" s="279"/>
      <c r="H113" s="279"/>
      <c r="I113" s="279"/>
      <c r="J113" s="163"/>
    </row>
    <row r="114" spans="1:10" hidden="1">
      <c r="B114" s="1012" t="s">
        <v>1092</v>
      </c>
      <c r="C114" s="1013"/>
      <c r="D114" s="279"/>
      <c r="E114" s="279"/>
      <c r="F114" s="255"/>
      <c r="G114" s="279"/>
      <c r="H114" s="279"/>
      <c r="I114" s="279"/>
      <c r="J114" s="163"/>
    </row>
    <row r="115" spans="1:10" hidden="1">
      <c r="B115" s="1012" t="s">
        <v>1093</v>
      </c>
      <c r="C115" s="1013"/>
      <c r="D115" s="279"/>
      <c r="E115" s="279"/>
      <c r="F115" s="255"/>
      <c r="G115" s="279"/>
      <c r="H115" s="279"/>
      <c r="I115" s="279"/>
      <c r="J115" s="163"/>
    </row>
    <row r="116" spans="1:10" hidden="1">
      <c r="B116" s="1012" t="s">
        <v>1094</v>
      </c>
      <c r="C116" s="1013"/>
      <c r="D116" s="279"/>
      <c r="E116" s="279"/>
      <c r="F116" s="255"/>
      <c r="G116" s="279"/>
      <c r="H116" s="279"/>
      <c r="I116" s="279"/>
      <c r="J116" s="163"/>
    </row>
    <row r="117" spans="1:10" hidden="1">
      <c r="B117" s="645" t="s">
        <v>1095</v>
      </c>
      <c r="C117" s="998"/>
      <c r="D117" s="363"/>
      <c r="E117" s="363"/>
      <c r="F117" s="456">
        <f t="shared" ref="F117" si="15">+E117+D117</f>
        <v>0</v>
      </c>
      <c r="G117" s="363"/>
      <c r="H117" s="363"/>
      <c r="I117" s="363"/>
      <c r="J117" s="163"/>
    </row>
    <row r="118" spans="1:10" hidden="1">
      <c r="B118" s="645" t="s">
        <v>1085</v>
      </c>
      <c r="C118" s="998"/>
      <c r="D118" s="363"/>
      <c r="E118" s="363"/>
      <c r="F118" s="255"/>
      <c r="G118" s="363"/>
      <c r="H118" s="363"/>
      <c r="I118" s="363"/>
      <c r="J118" s="163"/>
    </row>
    <row r="119" spans="1:10">
      <c r="B119" s="237"/>
      <c r="C119" s="237"/>
      <c r="D119" s="237"/>
      <c r="E119" s="237"/>
      <c r="F119" s="237"/>
      <c r="G119" s="237"/>
      <c r="H119" s="237"/>
      <c r="I119" s="237"/>
    </row>
    <row r="120" spans="1:10">
      <c r="B120" s="645" t="s">
        <v>1802</v>
      </c>
      <c r="C120" s="998"/>
      <c r="D120" s="198" t="s">
        <v>1077</v>
      </c>
      <c r="E120" s="198" t="s">
        <v>1078</v>
      </c>
      <c r="F120" s="198" t="s">
        <v>1660</v>
      </c>
      <c r="G120" s="198" t="s">
        <v>1079</v>
      </c>
      <c r="H120" s="198" t="s">
        <v>1080</v>
      </c>
      <c r="I120" s="198" t="s">
        <v>1081</v>
      </c>
      <c r="J120" s="163"/>
    </row>
    <row r="121" spans="1:10">
      <c r="B121" s="645" t="s">
        <v>1082</v>
      </c>
      <c r="C121" s="998"/>
      <c r="D121" s="363">
        <v>10065.857364553905</v>
      </c>
      <c r="E121" s="363">
        <v>10680.877663966166</v>
      </c>
      <c r="F121" s="456">
        <f t="shared" ref="F121" si="16">+E121+D121</f>
        <v>20746.735028520074</v>
      </c>
      <c r="G121" s="363">
        <f t="shared" ref="G121:I121" si="17">G19</f>
        <v>10765.182898136882</v>
      </c>
      <c r="H121" s="363">
        <f t="shared" si="17"/>
        <v>11935.291006200958</v>
      </c>
      <c r="I121" s="363">
        <f t="shared" si="17"/>
        <v>13039.542565298472</v>
      </c>
      <c r="J121" s="163"/>
    </row>
    <row r="122" spans="1:10">
      <c r="B122" s="645" t="s">
        <v>1083</v>
      </c>
      <c r="C122" s="998"/>
      <c r="D122" s="491">
        <v>0.26619999999999999</v>
      </c>
      <c r="E122" s="491">
        <v>0.26619999999999999</v>
      </c>
      <c r="F122" s="564"/>
      <c r="G122" s="491">
        <v>0.26619999999999999</v>
      </c>
      <c r="H122" s="491">
        <v>0.26619999999999999</v>
      </c>
      <c r="I122" s="491">
        <v>0.26619999999999999</v>
      </c>
      <c r="J122" s="163"/>
    </row>
    <row r="123" spans="1:10">
      <c r="B123" s="1003" t="s">
        <v>1084</v>
      </c>
      <c r="C123" s="1004"/>
      <c r="D123" s="368">
        <v>2679.5312304442496</v>
      </c>
      <c r="E123" s="368">
        <v>2843.2496341477936</v>
      </c>
      <c r="F123" s="457">
        <f>+E123+D123</f>
        <v>5522.7808645920431</v>
      </c>
      <c r="G123" s="368">
        <f t="shared" ref="G123:H123" si="18">G121*G122</f>
        <v>2865.6916874840376</v>
      </c>
      <c r="H123" s="368">
        <f t="shared" si="18"/>
        <v>3177.174465850695</v>
      </c>
      <c r="I123" s="368">
        <f>I121*I122</f>
        <v>3471.126230882453</v>
      </c>
      <c r="J123" s="163"/>
    </row>
    <row r="124" spans="1:10">
      <c r="B124" s="645" t="s">
        <v>1085</v>
      </c>
      <c r="C124" s="998"/>
      <c r="D124" s="567">
        <v>223.93682154629175</v>
      </c>
      <c r="E124" s="567">
        <v>236</v>
      </c>
      <c r="F124" s="569"/>
      <c r="G124" s="567">
        <v>249.75199999999998</v>
      </c>
      <c r="H124" s="567">
        <v>274.14800000000002</v>
      </c>
      <c r="I124" s="567">
        <f>I22</f>
        <v>293.06819040000005</v>
      </c>
      <c r="J124" s="163"/>
    </row>
    <row r="125" spans="1:10" s="119" customFormat="1" ht="15.75" customHeight="1">
      <c r="A125" s="103"/>
      <c r="B125" s="276"/>
      <c r="C125" s="276"/>
      <c r="D125" s="276"/>
      <c r="E125" s="276"/>
      <c r="F125" s="276"/>
      <c r="G125" s="526"/>
      <c r="H125" s="526"/>
      <c r="I125" s="526"/>
    </row>
    <row r="126" spans="1:10" s="119" customFormat="1" ht="30" customHeight="1">
      <c r="A126" s="271"/>
      <c r="B126" s="654" t="s">
        <v>1437</v>
      </c>
      <c r="C126" s="655"/>
      <c r="D126" s="655"/>
      <c r="E126" s="655"/>
      <c r="F126" s="655"/>
      <c r="G126" s="655"/>
      <c r="H126" s="655"/>
      <c r="I126" s="655"/>
      <c r="J126" s="275"/>
    </row>
    <row r="127" spans="1:10" s="119" customFormat="1" ht="60" customHeight="1">
      <c r="A127" s="271"/>
      <c r="B127" s="1005" t="s">
        <v>1789</v>
      </c>
      <c r="C127" s="1006"/>
      <c r="D127" s="1006"/>
      <c r="E127" s="1006"/>
      <c r="F127" s="1006"/>
      <c r="G127" s="1006"/>
      <c r="H127" s="1006"/>
      <c r="I127" s="1006"/>
      <c r="J127" s="275"/>
    </row>
    <row r="128" spans="1:10" s="119" customFormat="1" ht="15.75" customHeight="1">
      <c r="A128" s="103"/>
      <c r="B128" s="276"/>
      <c r="C128" s="276"/>
      <c r="D128" s="276"/>
      <c r="E128" s="276"/>
      <c r="F128" s="276"/>
      <c r="G128" s="276"/>
      <c r="H128" s="276"/>
      <c r="I128" s="276"/>
    </row>
    <row r="129" spans="1:10" s="119" customFormat="1" ht="15.75" customHeight="1">
      <c r="A129" s="271"/>
      <c r="B129" s="654" t="s">
        <v>1438</v>
      </c>
      <c r="C129" s="655"/>
      <c r="D129" s="655"/>
      <c r="E129" s="655"/>
      <c r="F129" s="655"/>
      <c r="G129" s="655"/>
      <c r="H129" s="655"/>
      <c r="I129" s="655"/>
      <c r="J129" s="275"/>
    </row>
    <row r="130" spans="1:10" s="119" customFormat="1" ht="60" customHeight="1">
      <c r="A130" s="271"/>
      <c r="B130" s="1000" t="s">
        <v>1790</v>
      </c>
      <c r="C130" s="1001"/>
      <c r="D130" s="1001"/>
      <c r="E130" s="1001"/>
      <c r="F130" s="1001"/>
      <c r="G130" s="1001"/>
      <c r="H130" s="1001"/>
      <c r="I130" s="1002"/>
      <c r="J130" s="275"/>
    </row>
    <row r="131" spans="1:10" s="119" customFormat="1" ht="15.75" customHeight="1">
      <c r="A131" s="103"/>
      <c r="B131" s="276"/>
      <c r="C131" s="276"/>
      <c r="D131" s="276"/>
      <c r="E131" s="276"/>
      <c r="F131" s="276"/>
      <c r="G131" s="276"/>
      <c r="H131" s="276"/>
      <c r="I131" s="276"/>
    </row>
    <row r="132" spans="1:10" s="119" customFormat="1" ht="30" customHeight="1">
      <c r="A132" s="271"/>
      <c r="B132" s="654" t="s">
        <v>1098</v>
      </c>
      <c r="C132" s="655"/>
      <c r="D132" s="655"/>
      <c r="E132" s="655"/>
      <c r="F132" s="655"/>
      <c r="G132" s="655"/>
      <c r="H132" s="655"/>
      <c r="I132" s="655"/>
      <c r="J132" s="275"/>
    </row>
    <row r="133" spans="1:10" s="119" customFormat="1" ht="45" customHeight="1">
      <c r="A133" s="271"/>
      <c r="B133" s="1005" t="s">
        <v>920</v>
      </c>
      <c r="C133" s="1006"/>
      <c r="D133" s="1006"/>
      <c r="E133" s="1006"/>
      <c r="F133" s="1006"/>
      <c r="G133" s="1006"/>
      <c r="H133" s="1006"/>
      <c r="I133" s="1006"/>
      <c r="J133" s="275"/>
    </row>
    <row r="134" spans="1:10" s="119" customFormat="1" ht="15.75" customHeight="1">
      <c r="A134" s="103"/>
      <c r="B134" s="276"/>
      <c r="C134" s="276"/>
      <c r="D134" s="276"/>
      <c r="E134" s="276"/>
      <c r="F134" s="276"/>
      <c r="G134" s="276"/>
      <c r="H134" s="276"/>
      <c r="I134" s="276"/>
    </row>
    <row r="135" spans="1:10" s="119" customFormat="1" ht="30" customHeight="1">
      <c r="A135" s="271"/>
      <c r="B135" s="654" t="s">
        <v>1436</v>
      </c>
      <c r="C135" s="655"/>
      <c r="D135" s="655"/>
      <c r="E135" s="655"/>
      <c r="F135" s="655"/>
      <c r="G135" s="655"/>
      <c r="H135" s="655"/>
      <c r="I135" s="655"/>
      <c r="J135" s="275"/>
    </row>
    <row r="136" spans="1:10" s="119" customFormat="1" ht="60" customHeight="1">
      <c r="A136" s="271"/>
      <c r="B136" s="1005" t="s">
        <v>1850</v>
      </c>
      <c r="C136" s="1006"/>
      <c r="D136" s="1006"/>
      <c r="E136" s="1006"/>
      <c r="F136" s="1006"/>
      <c r="G136" s="1006"/>
      <c r="H136" s="1006"/>
      <c r="I136" s="1006"/>
      <c r="J136" s="275"/>
    </row>
  </sheetData>
  <sheetProtection formatCells="0" formatColumns="0" formatRows="0" insertHyperlinks="0"/>
  <mergeCells count="102">
    <mergeCell ref="B135:I135"/>
    <mergeCell ref="B132:I132"/>
    <mergeCell ref="B133:I133"/>
    <mergeCell ref="B92:I92"/>
    <mergeCell ref="B126:I126"/>
    <mergeCell ref="B120:C120"/>
    <mergeCell ref="B121:C121"/>
    <mergeCell ref="B122:C122"/>
    <mergeCell ref="B123:C123"/>
    <mergeCell ref="B124:C124"/>
    <mergeCell ref="B127:I127"/>
    <mergeCell ref="B112:I112"/>
    <mergeCell ref="B117:C117"/>
    <mergeCell ref="B118:C118"/>
    <mergeCell ref="B108:C108"/>
    <mergeCell ref="B109:C109"/>
    <mergeCell ref="B113:C113"/>
    <mergeCell ref="B103:G103"/>
    <mergeCell ref="H103:I103"/>
    <mergeCell ref="B106:C106"/>
    <mergeCell ref="B107:C107"/>
    <mergeCell ref="B16:G16"/>
    <mergeCell ref="B59:G59"/>
    <mergeCell ref="H59:I59"/>
    <mergeCell ref="B102:G102"/>
    <mergeCell ref="H102:I102"/>
    <mergeCell ref="B70:C70"/>
    <mergeCell ref="B71:C71"/>
    <mergeCell ref="B18:C18"/>
    <mergeCell ref="B19:C19"/>
    <mergeCell ref="B20:C20"/>
    <mergeCell ref="B21:C21"/>
    <mergeCell ref="B54:I54"/>
    <mergeCell ref="B97:I97"/>
    <mergeCell ref="B98:I98"/>
    <mergeCell ref="B31:C31"/>
    <mergeCell ref="B22:C22"/>
    <mergeCell ref="B25:C25"/>
    <mergeCell ref="B26:C26"/>
    <mergeCell ref="B27:C27"/>
    <mergeCell ref="B28:C28"/>
    <mergeCell ref="B91:I91"/>
    <mergeCell ref="B48:I48"/>
    <mergeCell ref="B49:I49"/>
    <mergeCell ref="B30:C30"/>
    <mergeCell ref="B32:C32"/>
    <mergeCell ref="B33:C33"/>
    <mergeCell ref="B34:C34"/>
    <mergeCell ref="B36:C36"/>
    <mergeCell ref="B37:C37"/>
    <mergeCell ref="B4:C4"/>
    <mergeCell ref="B136:I136"/>
    <mergeCell ref="B114:C114"/>
    <mergeCell ref="B115:C115"/>
    <mergeCell ref="B116:C116"/>
    <mergeCell ref="B110:C110"/>
    <mergeCell ref="B111:C111"/>
    <mergeCell ref="B65:C65"/>
    <mergeCell ref="B68:C68"/>
    <mergeCell ref="B69:C69"/>
    <mergeCell ref="B55:I55"/>
    <mergeCell ref="B63:C63"/>
    <mergeCell ref="B64:C64"/>
    <mergeCell ref="B61:C61"/>
    <mergeCell ref="B62:C62"/>
    <mergeCell ref="B24:C24"/>
    <mergeCell ref="B105:C105"/>
    <mergeCell ref="H16:I16"/>
    <mergeCell ref="B45:C45"/>
    <mergeCell ref="B46:C46"/>
    <mergeCell ref="B73:C73"/>
    <mergeCell ref="B74:C74"/>
    <mergeCell ref="B38:C38"/>
    <mergeCell ref="B39:C39"/>
    <mergeCell ref="B40:C40"/>
    <mergeCell ref="B42:C42"/>
    <mergeCell ref="B43:C43"/>
    <mergeCell ref="B67:C67"/>
    <mergeCell ref="L10:W11"/>
    <mergeCell ref="B12:C12"/>
    <mergeCell ref="B8:C8"/>
    <mergeCell ref="B94:I94"/>
    <mergeCell ref="B95:I95"/>
    <mergeCell ref="B129:I129"/>
    <mergeCell ref="B130:I130"/>
    <mergeCell ref="B9:C9"/>
    <mergeCell ref="B51:I51"/>
    <mergeCell ref="B52:I52"/>
    <mergeCell ref="B87:C87"/>
    <mergeCell ref="B88:C88"/>
    <mergeCell ref="B89:C89"/>
    <mergeCell ref="B81:C81"/>
    <mergeCell ref="B82:C82"/>
    <mergeCell ref="B83:C83"/>
    <mergeCell ref="B85:C85"/>
    <mergeCell ref="B86:C86"/>
    <mergeCell ref="B75:C75"/>
    <mergeCell ref="B76:C76"/>
    <mergeCell ref="B77:C77"/>
    <mergeCell ref="B79:C79"/>
    <mergeCell ref="B80:C80"/>
    <mergeCell ref="B44:C44"/>
  </mergeCells>
  <conditionalFormatting sqref="B4:C4 D9:E9 H16:I16 H59:I59 H102:I103 G9:I9">
    <cfRule type="expression" dxfId="153" priority="6">
      <formula>$A$2="PRINT"</formula>
    </cfRule>
  </conditionalFormatting>
  <conditionalFormatting sqref="D9">
    <cfRule type="expression" dxfId="152" priority="5">
      <formula>$D$9&lt;&gt;SUM(D10:D12)</formula>
    </cfRule>
  </conditionalFormatting>
  <conditionalFormatting sqref="E9">
    <cfRule type="expression" dxfId="151" priority="4">
      <formula>$E$9&lt;&gt;SUM(E10:E12)</formula>
    </cfRule>
  </conditionalFormatting>
  <conditionalFormatting sqref="G9">
    <cfRule type="expression" dxfId="150" priority="3">
      <formula>$G$9&lt;&gt;SUM(G10:G12)</formula>
    </cfRule>
  </conditionalFormatting>
  <conditionalFormatting sqref="H9">
    <cfRule type="expression" dxfId="149" priority="2">
      <formula>$H$9&lt;&gt;SUM(H10:H12)</formula>
    </cfRule>
  </conditionalFormatting>
  <conditionalFormatting sqref="I9">
    <cfRule type="expression" dxfId="148" priority="1">
      <formula>$I$9&lt;&gt;SUM(I10:I12)</formula>
    </cfRule>
  </conditionalFormatting>
  <dataValidations count="2">
    <dataValidation type="list" allowBlank="1" showInputMessage="1" showErrorMessage="1" sqref="H102:H103" xr:uid="{00000000-0002-0000-2F00-000000000000}">
      <formula1>"Select,Yes,No"</formula1>
    </dataValidation>
    <dataValidation type="list" allowBlank="1" showInputMessage="1" showErrorMessage="1" sqref="H16:I16 H59:I59" xr:uid="{00000000-0002-0000-2F00-000001000000}">
      <formula1>"Select,No,Yes-2,Yes-3,Yes-4,Yes-5"</formula1>
    </dataValidation>
  </dataValidations>
  <pageMargins left="0.70866141732283472" right="0.70866141732283472" top="0.74803149606299213" bottom="0.74803149606299213" header="0.31496062992125984" footer="0.31496062992125984"/>
  <pageSetup paperSize="9" scale="68" fitToHeight="0" orientation="portrait" r:id="rId1"/>
  <headerFooter>
    <oddFooter>&amp;C&amp;P</oddFooter>
  </headerFooter>
  <drawing r:id="rId2"/>
  <picture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1">
    <tabColor theme="2" tint="-0.249977111117893"/>
    <pageSetUpPr fitToPage="1"/>
  </sheetPr>
  <dimension ref="A1:I139"/>
  <sheetViews>
    <sheetView showGridLines="0" topLeftCell="A130" zoomScaleNormal="100" workbookViewId="0">
      <selection activeCell="C144" sqref="C144"/>
    </sheetView>
  </sheetViews>
  <sheetFormatPr defaultColWidth="9.140625" defaultRowHeight="15"/>
  <cols>
    <col min="1" max="1" width="9.140625" style="3"/>
    <col min="2" max="2" width="13.5703125" style="3" bestFit="1" customWidth="1"/>
    <col min="3" max="3" width="37.42578125" style="3" customWidth="1"/>
    <col min="4" max="9" width="12.7109375" style="3" customWidth="1"/>
    <col min="10" max="10" width="1.7109375" style="3" customWidth="1"/>
    <col min="11" max="16384" width="9.140625" style="3"/>
  </cols>
  <sheetData>
    <row r="1" spans="1:9">
      <c r="A1" s="103"/>
    </row>
    <row r="2" spans="1:9" ht="15.75" customHeight="1" thickBot="1">
      <c r="A2" s="103"/>
      <c r="B2" s="32" t="s">
        <v>1127</v>
      </c>
      <c r="C2" s="32"/>
      <c r="D2" s="32"/>
      <c r="E2" s="32"/>
      <c r="F2" s="32"/>
      <c r="G2" s="32"/>
      <c r="H2" s="32"/>
      <c r="I2" s="32"/>
    </row>
    <row r="3" spans="1:9" s="119" customFormat="1" ht="15.75" customHeight="1">
      <c r="A3" s="103"/>
      <c r="B3" s="270"/>
      <c r="C3" s="270"/>
      <c r="D3" s="270"/>
      <c r="E3" s="270"/>
      <c r="F3" s="270"/>
      <c r="G3" s="270"/>
      <c r="H3" s="270"/>
      <c r="I3" s="270"/>
    </row>
    <row r="4" spans="1:9" s="119" customFormat="1" ht="15.75" customHeight="1">
      <c r="A4" s="271"/>
      <c r="B4" s="1010" t="str">
        <f>'1.1 The situation'!B13</f>
        <v>DCAC Cyprus</v>
      </c>
      <c r="C4" s="1011"/>
      <c r="D4" s="272"/>
      <c r="E4" s="118"/>
      <c r="F4" s="118"/>
      <c r="G4" s="118"/>
      <c r="H4" s="118"/>
      <c r="I4" s="118"/>
    </row>
    <row r="5" spans="1:9" s="119" customFormat="1" ht="15.75" customHeight="1">
      <c r="A5" s="103"/>
      <c r="B5" s="276"/>
      <c r="C5" s="276"/>
      <c r="D5" s="118"/>
      <c r="E5" s="118"/>
      <c r="F5" s="118"/>
      <c r="G5" s="118"/>
      <c r="H5" s="118"/>
      <c r="I5" s="118"/>
    </row>
    <row r="6" spans="1:9" s="119" customFormat="1" ht="15.75" customHeight="1">
      <c r="A6" s="271"/>
      <c r="B6" s="1014" t="s">
        <v>1099</v>
      </c>
      <c r="C6" s="1015"/>
      <c r="D6" s="1015"/>
      <c r="E6" s="1015"/>
      <c r="F6" s="1015"/>
      <c r="G6" s="1015"/>
      <c r="H6" s="849" t="s">
        <v>396</v>
      </c>
      <c r="I6" s="1018"/>
    </row>
    <row r="7" spans="1:9" s="119" customFormat="1" ht="15.75" customHeight="1">
      <c r="A7" s="103"/>
      <c r="B7" s="276"/>
      <c r="C7" s="276"/>
      <c r="D7" s="276"/>
      <c r="E7" s="276"/>
      <c r="F7" s="276"/>
      <c r="G7" s="276"/>
      <c r="H7" s="276"/>
      <c r="I7" s="276"/>
    </row>
    <row r="8" spans="1:9" s="119" customFormat="1" ht="30" customHeight="1">
      <c r="A8" s="271"/>
      <c r="B8" s="1019" t="s">
        <v>1100</v>
      </c>
      <c r="C8" s="1020"/>
      <c r="D8" s="1020"/>
      <c r="E8" s="1020"/>
      <c r="F8" s="1020"/>
      <c r="G8" s="1020"/>
      <c r="H8" s="1020"/>
      <c r="I8" s="1021"/>
    </row>
    <row r="9" spans="1:9" s="119" customFormat="1" ht="7.5" customHeight="1">
      <c r="B9" s="281"/>
      <c r="C9" s="281"/>
      <c r="D9" s="281"/>
      <c r="E9" s="281"/>
      <c r="F9" s="281"/>
      <c r="G9" s="281"/>
      <c r="H9" s="281"/>
      <c r="I9" s="281"/>
    </row>
    <row r="10" spans="1:9" s="119" customFormat="1" ht="15.75" hidden="1" customHeight="1">
      <c r="A10" s="271"/>
      <c r="B10" s="1003" t="s">
        <v>1102</v>
      </c>
      <c r="C10" s="1004"/>
      <c r="D10" s="198" t="s">
        <v>1077</v>
      </c>
      <c r="E10" s="198" t="s">
        <v>1078</v>
      </c>
      <c r="F10" s="198" t="s">
        <v>1660</v>
      </c>
      <c r="G10" s="198" t="s">
        <v>1079</v>
      </c>
      <c r="H10" s="198" t="s">
        <v>1080</v>
      </c>
      <c r="I10" s="282" t="s">
        <v>1081</v>
      </c>
    </row>
    <row r="11" spans="1:9" s="119" customFormat="1" ht="45" hidden="1" customHeight="1">
      <c r="A11" s="271"/>
      <c r="B11" s="645" t="s">
        <v>25</v>
      </c>
      <c r="C11" s="998"/>
      <c r="D11" s="999"/>
      <c r="E11" s="657"/>
      <c r="F11" s="657"/>
      <c r="G11" s="657"/>
      <c r="H11" s="657"/>
      <c r="I11" s="1022"/>
    </row>
    <row r="12" spans="1:9" s="119" customFormat="1" ht="15.75" hidden="1" customHeight="1">
      <c r="A12" s="271"/>
      <c r="B12" s="645" t="s">
        <v>1522</v>
      </c>
      <c r="C12" s="998"/>
      <c r="D12" s="277"/>
      <c r="E12" s="278"/>
      <c r="F12" s="257"/>
      <c r="G12" s="278"/>
      <c r="H12" s="278"/>
      <c r="I12" s="283"/>
    </row>
    <row r="13" spans="1:9" s="119" customFormat="1" ht="15.75" hidden="1" customHeight="1">
      <c r="A13" s="271"/>
      <c r="B13" s="645" t="s">
        <v>1101</v>
      </c>
      <c r="C13" s="998"/>
      <c r="D13" s="279"/>
      <c r="E13" s="279"/>
      <c r="F13" s="257"/>
      <c r="G13" s="279"/>
      <c r="H13" s="279"/>
      <c r="I13" s="284"/>
    </row>
    <row r="14" spans="1:9" s="119" customFormat="1" ht="15.75" hidden="1" customHeight="1">
      <c r="A14" s="271"/>
      <c r="B14" s="645" t="s">
        <v>1103</v>
      </c>
      <c r="C14" s="998"/>
      <c r="D14" s="277"/>
      <c r="E14" s="278"/>
      <c r="F14" s="459">
        <f>+E14+D14</f>
        <v>0</v>
      </c>
      <c r="G14" s="278"/>
      <c r="H14" s="278"/>
      <c r="I14" s="283"/>
    </row>
    <row r="15" spans="1:9" s="119" customFormat="1" ht="15.75" hidden="1" customHeight="1">
      <c r="A15" s="121"/>
      <c r="B15" s="286"/>
      <c r="C15" s="286"/>
      <c r="D15" s="286"/>
      <c r="E15" s="286"/>
      <c r="F15" s="286"/>
      <c r="G15" s="286"/>
      <c r="H15" s="286"/>
      <c r="I15" s="286"/>
    </row>
    <row r="16" spans="1:9" s="119" customFormat="1" ht="15.75" hidden="1" customHeight="1">
      <c r="A16" s="285"/>
      <c r="B16" s="1003" t="s">
        <v>1104</v>
      </c>
      <c r="C16" s="1004"/>
      <c r="D16" s="198" t="s">
        <v>1077</v>
      </c>
      <c r="E16" s="198" t="s">
        <v>1078</v>
      </c>
      <c r="F16" s="198" t="s">
        <v>1660</v>
      </c>
      <c r="G16" s="198" t="s">
        <v>1079</v>
      </c>
      <c r="H16" s="198" t="s">
        <v>1080</v>
      </c>
      <c r="I16" s="282" t="s">
        <v>1081</v>
      </c>
    </row>
    <row r="17" spans="1:9" s="119" customFormat="1" ht="45" hidden="1" customHeight="1">
      <c r="A17" s="285"/>
      <c r="B17" s="645" t="s">
        <v>25</v>
      </c>
      <c r="C17" s="998"/>
      <c r="D17" s="999"/>
      <c r="E17" s="657"/>
      <c r="F17" s="657"/>
      <c r="G17" s="657"/>
      <c r="H17" s="657"/>
      <c r="I17" s="1022"/>
    </row>
    <row r="18" spans="1:9" s="119" customFormat="1" ht="15.75" hidden="1" customHeight="1">
      <c r="A18" s="285"/>
      <c r="B18" s="645" t="s">
        <v>1522</v>
      </c>
      <c r="C18" s="998"/>
      <c r="D18" s="277"/>
      <c r="E18" s="278"/>
      <c r="F18" s="257"/>
      <c r="G18" s="278"/>
      <c r="H18" s="278"/>
      <c r="I18" s="283"/>
    </row>
    <row r="19" spans="1:9" s="119" customFormat="1" ht="15.75" hidden="1" customHeight="1">
      <c r="A19" s="285"/>
      <c r="B19" s="645" t="s">
        <v>1101</v>
      </c>
      <c r="C19" s="998"/>
      <c r="D19" s="279"/>
      <c r="E19" s="279"/>
      <c r="F19" s="257"/>
      <c r="G19" s="279"/>
      <c r="H19" s="279"/>
      <c r="I19" s="284"/>
    </row>
    <row r="20" spans="1:9" s="119" customFormat="1" ht="15.75" hidden="1" customHeight="1">
      <c r="A20" s="285"/>
      <c r="B20" s="645" t="s">
        <v>1103</v>
      </c>
      <c r="C20" s="998"/>
      <c r="D20" s="277"/>
      <c r="E20" s="278"/>
      <c r="F20" s="459">
        <f>+E20+D20</f>
        <v>0</v>
      </c>
      <c r="G20" s="278"/>
      <c r="H20" s="278"/>
      <c r="I20" s="283"/>
    </row>
    <row r="21" spans="1:9" s="119" customFormat="1" ht="15.75" hidden="1" customHeight="1">
      <c r="A21" s="121"/>
      <c r="B21" s="286"/>
      <c r="C21" s="286"/>
      <c r="D21" s="286"/>
      <c r="E21" s="286"/>
      <c r="F21" s="286"/>
      <c r="G21" s="286"/>
      <c r="H21" s="286"/>
      <c r="I21" s="286"/>
    </row>
    <row r="22" spans="1:9" s="119" customFormat="1" ht="15.75" hidden="1" customHeight="1">
      <c r="A22" s="285"/>
      <c r="B22" s="1003" t="s">
        <v>1105</v>
      </c>
      <c r="C22" s="1004"/>
      <c r="D22" s="198" t="s">
        <v>1077</v>
      </c>
      <c r="E22" s="198" t="s">
        <v>1078</v>
      </c>
      <c r="F22" s="198" t="s">
        <v>1660</v>
      </c>
      <c r="G22" s="198" t="s">
        <v>1079</v>
      </c>
      <c r="H22" s="198" t="s">
        <v>1080</v>
      </c>
      <c r="I22" s="282" t="s">
        <v>1081</v>
      </c>
    </row>
    <row r="23" spans="1:9" s="119" customFormat="1" ht="45" hidden="1" customHeight="1">
      <c r="A23" s="285"/>
      <c r="B23" s="645" t="s">
        <v>25</v>
      </c>
      <c r="C23" s="998"/>
      <c r="D23" s="999"/>
      <c r="E23" s="657"/>
      <c r="F23" s="657"/>
      <c r="G23" s="657"/>
      <c r="H23" s="657"/>
      <c r="I23" s="1022"/>
    </row>
    <row r="24" spans="1:9" s="119" customFormat="1" ht="15.75" hidden="1" customHeight="1">
      <c r="A24" s="285"/>
      <c r="B24" s="645" t="s">
        <v>1522</v>
      </c>
      <c r="C24" s="998"/>
      <c r="D24" s="277"/>
      <c r="E24" s="278"/>
      <c r="F24" s="257"/>
      <c r="G24" s="278"/>
      <c r="H24" s="278"/>
      <c r="I24" s="283"/>
    </row>
    <row r="25" spans="1:9" s="119" customFormat="1" ht="15.75" hidden="1" customHeight="1">
      <c r="A25" s="285"/>
      <c r="B25" s="645" t="s">
        <v>1101</v>
      </c>
      <c r="C25" s="998"/>
      <c r="D25" s="279"/>
      <c r="E25" s="279"/>
      <c r="F25" s="257"/>
      <c r="G25" s="279"/>
      <c r="H25" s="279"/>
      <c r="I25" s="284"/>
    </row>
    <row r="26" spans="1:9" s="119" customFormat="1" ht="15.75" hidden="1" customHeight="1">
      <c r="A26" s="285"/>
      <c r="B26" s="645" t="s">
        <v>1103</v>
      </c>
      <c r="C26" s="998"/>
      <c r="D26" s="277"/>
      <c r="E26" s="278"/>
      <c r="F26" s="459">
        <f>+E26+D26</f>
        <v>0</v>
      </c>
      <c r="G26" s="278"/>
      <c r="H26" s="278"/>
      <c r="I26" s="283"/>
    </row>
    <row r="27" spans="1:9" s="119" customFormat="1" ht="15.75" hidden="1" customHeight="1">
      <c r="A27" s="121"/>
      <c r="B27" s="286"/>
      <c r="C27" s="286"/>
      <c r="D27" s="286"/>
      <c r="E27" s="286"/>
      <c r="F27" s="286"/>
      <c r="G27" s="286"/>
      <c r="H27" s="286"/>
      <c r="I27" s="286"/>
    </row>
    <row r="28" spans="1:9" hidden="1">
      <c r="B28" s="1003" t="s">
        <v>1106</v>
      </c>
      <c r="C28" s="1004"/>
      <c r="D28" s="198" t="s">
        <v>1077</v>
      </c>
      <c r="E28" s="198" t="s">
        <v>1078</v>
      </c>
      <c r="F28" s="198" t="s">
        <v>1660</v>
      </c>
      <c r="G28" s="198" t="s">
        <v>1079</v>
      </c>
      <c r="H28" s="198" t="s">
        <v>1080</v>
      </c>
      <c r="I28" s="282" t="s">
        <v>1081</v>
      </c>
    </row>
    <row r="29" spans="1:9" ht="45" hidden="1" customHeight="1">
      <c r="B29" s="645" t="s">
        <v>25</v>
      </c>
      <c r="C29" s="998"/>
      <c r="D29" s="999"/>
      <c r="E29" s="657"/>
      <c r="F29" s="657"/>
      <c r="G29" s="657"/>
      <c r="H29" s="657"/>
      <c r="I29" s="1022"/>
    </row>
    <row r="30" spans="1:9" hidden="1">
      <c r="B30" s="645" t="s">
        <v>1522</v>
      </c>
      <c r="C30" s="998"/>
      <c r="D30" s="277"/>
      <c r="E30" s="278"/>
      <c r="F30" s="257"/>
      <c r="G30" s="278"/>
      <c r="H30" s="278"/>
      <c r="I30" s="283"/>
    </row>
    <row r="31" spans="1:9" hidden="1">
      <c r="B31" s="645" t="s">
        <v>1101</v>
      </c>
      <c r="C31" s="998"/>
      <c r="D31" s="279"/>
      <c r="E31" s="279"/>
      <c r="F31" s="257"/>
      <c r="G31" s="279"/>
      <c r="H31" s="279"/>
      <c r="I31" s="284"/>
    </row>
    <row r="32" spans="1:9" hidden="1">
      <c r="B32" s="645" t="s">
        <v>1103</v>
      </c>
      <c r="C32" s="998"/>
      <c r="D32" s="277"/>
      <c r="E32" s="278"/>
      <c r="F32" s="459">
        <f>+E32+D32</f>
        <v>0</v>
      </c>
      <c r="G32" s="278"/>
      <c r="H32" s="278"/>
      <c r="I32" s="283"/>
    </row>
    <row r="33" spans="2:9" hidden="1">
      <c r="B33" s="237"/>
      <c r="C33" s="237"/>
      <c r="D33" s="237"/>
      <c r="E33" s="237"/>
      <c r="F33" s="237"/>
      <c r="G33" s="237"/>
      <c r="H33" s="237"/>
      <c r="I33" s="237"/>
    </row>
    <row r="34" spans="2:9" hidden="1">
      <c r="B34" s="1003" t="s">
        <v>1107</v>
      </c>
      <c r="C34" s="1004"/>
      <c r="D34" s="198" t="s">
        <v>1077</v>
      </c>
      <c r="E34" s="198" t="s">
        <v>1078</v>
      </c>
      <c r="F34" s="198" t="s">
        <v>1660</v>
      </c>
      <c r="G34" s="198" t="s">
        <v>1079</v>
      </c>
      <c r="H34" s="198" t="s">
        <v>1080</v>
      </c>
      <c r="I34" s="282" t="s">
        <v>1081</v>
      </c>
    </row>
    <row r="35" spans="2:9" ht="45" hidden="1" customHeight="1">
      <c r="B35" s="645" t="s">
        <v>25</v>
      </c>
      <c r="C35" s="998"/>
      <c r="D35" s="999"/>
      <c r="E35" s="657"/>
      <c r="F35" s="657"/>
      <c r="G35" s="657"/>
      <c r="H35" s="657"/>
      <c r="I35" s="1022"/>
    </row>
    <row r="36" spans="2:9" hidden="1">
      <c r="B36" s="645" t="s">
        <v>1522</v>
      </c>
      <c r="C36" s="998"/>
      <c r="D36" s="277"/>
      <c r="E36" s="278"/>
      <c r="F36" s="257"/>
      <c r="G36" s="278"/>
      <c r="H36" s="278"/>
      <c r="I36" s="283"/>
    </row>
    <row r="37" spans="2:9" hidden="1">
      <c r="B37" s="645" t="s">
        <v>1101</v>
      </c>
      <c r="C37" s="998"/>
      <c r="D37" s="279"/>
      <c r="E37" s="279"/>
      <c r="F37" s="257"/>
      <c r="G37" s="279"/>
      <c r="H37" s="279"/>
      <c r="I37" s="284"/>
    </row>
    <row r="38" spans="2:9" hidden="1">
      <c r="B38" s="645" t="s">
        <v>1103</v>
      </c>
      <c r="C38" s="998"/>
      <c r="D38" s="277"/>
      <c r="E38" s="278"/>
      <c r="F38" s="459">
        <f>+E38+D38</f>
        <v>0</v>
      </c>
      <c r="G38" s="278"/>
      <c r="H38" s="278"/>
      <c r="I38" s="283"/>
    </row>
    <row r="39" spans="2:9" hidden="1">
      <c r="B39" s="237"/>
      <c r="C39" s="237"/>
      <c r="D39" s="237"/>
      <c r="E39" s="237"/>
      <c r="F39" s="237"/>
      <c r="G39" s="237"/>
      <c r="H39" s="237"/>
      <c r="I39" s="237"/>
    </row>
    <row r="40" spans="2:9" hidden="1">
      <c r="B40" s="1003" t="s">
        <v>1108</v>
      </c>
      <c r="C40" s="1004"/>
      <c r="D40" s="198" t="s">
        <v>1077</v>
      </c>
      <c r="E40" s="198" t="s">
        <v>1078</v>
      </c>
      <c r="F40" s="198" t="s">
        <v>1660</v>
      </c>
      <c r="G40" s="198" t="s">
        <v>1079</v>
      </c>
      <c r="H40" s="198" t="s">
        <v>1080</v>
      </c>
      <c r="I40" s="282" t="s">
        <v>1081</v>
      </c>
    </row>
    <row r="41" spans="2:9" ht="45" hidden="1" customHeight="1">
      <c r="B41" s="645" t="s">
        <v>25</v>
      </c>
      <c r="C41" s="998"/>
      <c r="D41" s="999"/>
      <c r="E41" s="657"/>
      <c r="F41" s="657"/>
      <c r="G41" s="657"/>
      <c r="H41" s="657"/>
      <c r="I41" s="1022"/>
    </row>
    <row r="42" spans="2:9" hidden="1">
      <c r="B42" s="645" t="s">
        <v>1522</v>
      </c>
      <c r="C42" s="998"/>
      <c r="D42" s="277"/>
      <c r="E42" s="278"/>
      <c r="F42" s="257"/>
      <c r="G42" s="278"/>
      <c r="H42" s="278"/>
      <c r="I42" s="283"/>
    </row>
    <row r="43" spans="2:9" hidden="1">
      <c r="B43" s="645" t="s">
        <v>1101</v>
      </c>
      <c r="C43" s="998"/>
      <c r="D43" s="279"/>
      <c r="E43" s="279"/>
      <c r="F43" s="257"/>
      <c r="G43" s="279"/>
      <c r="H43" s="279"/>
      <c r="I43" s="284"/>
    </row>
    <row r="44" spans="2:9" hidden="1">
      <c r="B44" s="645" t="s">
        <v>1103</v>
      </c>
      <c r="C44" s="998"/>
      <c r="D44" s="277"/>
      <c r="E44" s="278"/>
      <c r="F44" s="459">
        <f>+E44+D44</f>
        <v>0</v>
      </c>
      <c r="G44" s="278"/>
      <c r="H44" s="278"/>
      <c r="I44" s="283"/>
    </row>
    <row r="45" spans="2:9" hidden="1">
      <c r="B45" s="237"/>
      <c r="C45" s="237"/>
      <c r="D45" s="237"/>
      <c r="E45" s="237"/>
      <c r="F45" s="237"/>
      <c r="G45" s="237"/>
      <c r="H45" s="237"/>
      <c r="I45" s="237"/>
    </row>
    <row r="46" spans="2:9" hidden="1">
      <c r="B46" s="1003" t="s">
        <v>1109</v>
      </c>
      <c r="C46" s="1004"/>
      <c r="D46" s="198" t="s">
        <v>1077</v>
      </c>
      <c r="E46" s="198" t="s">
        <v>1078</v>
      </c>
      <c r="F46" s="198" t="s">
        <v>1660</v>
      </c>
      <c r="G46" s="198" t="s">
        <v>1079</v>
      </c>
      <c r="H46" s="198" t="s">
        <v>1080</v>
      </c>
      <c r="I46" s="282" t="s">
        <v>1081</v>
      </c>
    </row>
    <row r="47" spans="2:9" ht="45" hidden="1" customHeight="1">
      <c r="B47" s="645" t="s">
        <v>25</v>
      </c>
      <c r="C47" s="998"/>
      <c r="D47" s="999"/>
      <c r="E47" s="657"/>
      <c r="F47" s="657"/>
      <c r="G47" s="657"/>
      <c r="H47" s="657"/>
      <c r="I47" s="1022"/>
    </row>
    <row r="48" spans="2:9" hidden="1">
      <c r="B48" s="645" t="s">
        <v>1522</v>
      </c>
      <c r="C48" s="998"/>
      <c r="D48" s="277"/>
      <c r="E48" s="278"/>
      <c r="F48" s="257"/>
      <c r="G48" s="278"/>
      <c r="H48" s="278"/>
      <c r="I48" s="283"/>
    </row>
    <row r="49" spans="2:9" hidden="1">
      <c r="B49" s="645" t="s">
        <v>1101</v>
      </c>
      <c r="C49" s="998"/>
      <c r="D49" s="279"/>
      <c r="E49" s="279"/>
      <c r="F49" s="257"/>
      <c r="G49" s="279"/>
      <c r="H49" s="279"/>
      <c r="I49" s="284"/>
    </row>
    <row r="50" spans="2:9" hidden="1">
      <c r="B50" s="645" t="s">
        <v>1103</v>
      </c>
      <c r="C50" s="998"/>
      <c r="D50" s="277"/>
      <c r="E50" s="278"/>
      <c r="F50" s="459">
        <f>+E50+D50</f>
        <v>0</v>
      </c>
      <c r="G50" s="278"/>
      <c r="H50" s="278"/>
      <c r="I50" s="283"/>
    </row>
    <row r="51" spans="2:9" hidden="1">
      <c r="B51" s="237"/>
      <c r="C51" s="237"/>
      <c r="D51" s="237"/>
      <c r="E51" s="237"/>
      <c r="F51" s="237"/>
      <c r="G51" s="237"/>
      <c r="H51" s="237"/>
      <c r="I51" s="237"/>
    </row>
    <row r="52" spans="2:9" hidden="1">
      <c r="B52" s="1003" t="s">
        <v>1110</v>
      </c>
      <c r="C52" s="1004"/>
      <c r="D52" s="198" t="s">
        <v>1077</v>
      </c>
      <c r="E52" s="198" t="s">
        <v>1078</v>
      </c>
      <c r="F52" s="198" t="s">
        <v>1660</v>
      </c>
      <c r="G52" s="198" t="s">
        <v>1079</v>
      </c>
      <c r="H52" s="198" t="s">
        <v>1080</v>
      </c>
      <c r="I52" s="282" t="s">
        <v>1081</v>
      </c>
    </row>
    <row r="53" spans="2:9" ht="45" hidden="1" customHeight="1">
      <c r="B53" s="645" t="s">
        <v>25</v>
      </c>
      <c r="C53" s="998"/>
      <c r="D53" s="999"/>
      <c r="E53" s="657"/>
      <c r="F53" s="657"/>
      <c r="G53" s="657"/>
      <c r="H53" s="657"/>
      <c r="I53" s="1022"/>
    </row>
    <row r="54" spans="2:9" hidden="1">
      <c r="B54" s="645" t="s">
        <v>1522</v>
      </c>
      <c r="C54" s="998"/>
      <c r="D54" s="277"/>
      <c r="E54" s="278"/>
      <c r="F54" s="257"/>
      <c r="G54" s="278"/>
      <c r="H54" s="278"/>
      <c r="I54" s="283"/>
    </row>
    <row r="55" spans="2:9" hidden="1">
      <c r="B55" s="645" t="s">
        <v>1101</v>
      </c>
      <c r="C55" s="998"/>
      <c r="D55" s="279"/>
      <c r="E55" s="279"/>
      <c r="F55" s="257"/>
      <c r="G55" s="279"/>
      <c r="H55" s="279"/>
      <c r="I55" s="284"/>
    </row>
    <row r="56" spans="2:9" hidden="1">
      <c r="B56" s="645" t="s">
        <v>1103</v>
      </c>
      <c r="C56" s="998"/>
      <c r="D56" s="277"/>
      <c r="E56" s="278"/>
      <c r="F56" s="459">
        <f>+E56+D56</f>
        <v>0</v>
      </c>
      <c r="G56" s="278"/>
      <c r="H56" s="278"/>
      <c r="I56" s="283"/>
    </row>
    <row r="57" spans="2:9" hidden="1">
      <c r="B57" s="237"/>
      <c r="C57" s="237"/>
      <c r="D57" s="237"/>
      <c r="E57" s="237"/>
      <c r="F57" s="237"/>
      <c r="G57" s="237"/>
      <c r="H57" s="237"/>
      <c r="I57" s="237"/>
    </row>
    <row r="58" spans="2:9" hidden="1">
      <c r="B58" s="1003" t="s">
        <v>1111</v>
      </c>
      <c r="C58" s="1004"/>
      <c r="D58" s="198" t="s">
        <v>1077</v>
      </c>
      <c r="E58" s="198" t="s">
        <v>1078</v>
      </c>
      <c r="F58" s="198" t="s">
        <v>1660</v>
      </c>
      <c r="G58" s="198" t="s">
        <v>1079</v>
      </c>
      <c r="H58" s="198" t="s">
        <v>1080</v>
      </c>
      <c r="I58" s="282" t="s">
        <v>1081</v>
      </c>
    </row>
    <row r="59" spans="2:9" ht="45" hidden="1" customHeight="1">
      <c r="B59" s="645" t="s">
        <v>25</v>
      </c>
      <c r="C59" s="998"/>
      <c r="D59" s="999"/>
      <c r="E59" s="657"/>
      <c r="F59" s="657"/>
      <c r="G59" s="657"/>
      <c r="H59" s="657"/>
      <c r="I59" s="1022"/>
    </row>
    <row r="60" spans="2:9" hidden="1">
      <c r="B60" s="645" t="s">
        <v>1522</v>
      </c>
      <c r="C60" s="998"/>
      <c r="D60" s="277"/>
      <c r="E60" s="278"/>
      <c r="F60" s="257"/>
      <c r="G60" s="278"/>
      <c r="H60" s="278"/>
      <c r="I60" s="283"/>
    </row>
    <row r="61" spans="2:9" hidden="1">
      <c r="B61" s="645" t="s">
        <v>1101</v>
      </c>
      <c r="C61" s="998"/>
      <c r="D61" s="279"/>
      <c r="E61" s="279"/>
      <c r="F61" s="257"/>
      <c r="G61" s="279"/>
      <c r="H61" s="279"/>
      <c r="I61" s="284"/>
    </row>
    <row r="62" spans="2:9" hidden="1">
      <c r="B62" s="645" t="s">
        <v>1103</v>
      </c>
      <c r="C62" s="998"/>
      <c r="D62" s="277"/>
      <c r="E62" s="278"/>
      <c r="F62" s="459">
        <f>+E62+D62</f>
        <v>0</v>
      </c>
      <c r="G62" s="278"/>
      <c r="H62" s="278"/>
      <c r="I62" s="283"/>
    </row>
    <row r="63" spans="2:9" hidden="1">
      <c r="B63" s="237"/>
      <c r="C63" s="237"/>
      <c r="D63" s="237"/>
      <c r="E63" s="237"/>
      <c r="F63" s="237"/>
      <c r="G63" s="237"/>
      <c r="H63" s="237"/>
      <c r="I63" s="237"/>
    </row>
    <row r="64" spans="2:9" hidden="1">
      <c r="B64" s="1003" t="s">
        <v>1112</v>
      </c>
      <c r="C64" s="1004"/>
      <c r="D64" s="198" t="s">
        <v>1077</v>
      </c>
      <c r="E64" s="198" t="s">
        <v>1078</v>
      </c>
      <c r="F64" s="198" t="s">
        <v>1660</v>
      </c>
      <c r="G64" s="198" t="s">
        <v>1079</v>
      </c>
      <c r="H64" s="198" t="s">
        <v>1080</v>
      </c>
      <c r="I64" s="282" t="s">
        <v>1081</v>
      </c>
    </row>
    <row r="65" spans="2:9" ht="45" hidden="1" customHeight="1">
      <c r="B65" s="645" t="s">
        <v>25</v>
      </c>
      <c r="C65" s="998"/>
      <c r="D65" s="999"/>
      <c r="E65" s="657"/>
      <c r="F65" s="657"/>
      <c r="G65" s="657"/>
      <c r="H65" s="657"/>
      <c r="I65" s="1022"/>
    </row>
    <row r="66" spans="2:9" hidden="1">
      <c r="B66" s="645" t="s">
        <v>1522</v>
      </c>
      <c r="C66" s="998"/>
      <c r="D66" s="277"/>
      <c r="E66" s="278"/>
      <c r="F66" s="257"/>
      <c r="G66" s="278"/>
      <c r="H66" s="278"/>
      <c r="I66" s="283"/>
    </row>
    <row r="67" spans="2:9" hidden="1">
      <c r="B67" s="645" t="s">
        <v>1101</v>
      </c>
      <c r="C67" s="998"/>
      <c r="D67" s="279"/>
      <c r="E67" s="279"/>
      <c r="F67" s="257"/>
      <c r="G67" s="279"/>
      <c r="H67" s="279"/>
      <c r="I67" s="284"/>
    </row>
    <row r="68" spans="2:9" hidden="1">
      <c r="B68" s="645" t="s">
        <v>1103</v>
      </c>
      <c r="C68" s="998"/>
      <c r="D68" s="277"/>
      <c r="E68" s="278"/>
      <c r="F68" s="459">
        <f>+E68+D68</f>
        <v>0</v>
      </c>
      <c r="G68" s="278"/>
      <c r="H68" s="278"/>
      <c r="I68" s="283"/>
    </row>
    <row r="69" spans="2:9" hidden="1">
      <c r="B69" s="237"/>
      <c r="C69" s="237"/>
      <c r="D69" s="237"/>
      <c r="E69" s="237"/>
      <c r="F69" s="237"/>
      <c r="G69" s="237"/>
      <c r="H69" s="237"/>
      <c r="I69" s="237"/>
    </row>
    <row r="70" spans="2:9" hidden="1">
      <c r="B70" s="1003" t="s">
        <v>1113</v>
      </c>
      <c r="C70" s="1004"/>
      <c r="D70" s="198" t="s">
        <v>1077</v>
      </c>
      <c r="E70" s="198" t="s">
        <v>1078</v>
      </c>
      <c r="F70" s="198" t="s">
        <v>1660</v>
      </c>
      <c r="G70" s="198" t="s">
        <v>1079</v>
      </c>
      <c r="H70" s="198" t="s">
        <v>1080</v>
      </c>
      <c r="I70" s="282" t="s">
        <v>1081</v>
      </c>
    </row>
    <row r="71" spans="2:9" ht="45" hidden="1" customHeight="1">
      <c r="B71" s="645" t="s">
        <v>25</v>
      </c>
      <c r="C71" s="998"/>
      <c r="D71" s="999"/>
      <c r="E71" s="657"/>
      <c r="F71" s="657"/>
      <c r="G71" s="657"/>
      <c r="H71" s="657"/>
      <c r="I71" s="1022"/>
    </row>
    <row r="72" spans="2:9" hidden="1">
      <c r="B72" s="645" t="s">
        <v>1522</v>
      </c>
      <c r="C72" s="998"/>
      <c r="D72" s="277"/>
      <c r="E72" s="278"/>
      <c r="F72" s="257"/>
      <c r="G72" s="278"/>
      <c r="H72" s="278"/>
      <c r="I72" s="283"/>
    </row>
    <row r="73" spans="2:9" hidden="1">
      <c r="B73" s="645" t="s">
        <v>1101</v>
      </c>
      <c r="C73" s="998"/>
      <c r="D73" s="279"/>
      <c r="E73" s="279"/>
      <c r="F73" s="257"/>
      <c r="G73" s="279"/>
      <c r="H73" s="279"/>
      <c r="I73" s="284"/>
    </row>
    <row r="74" spans="2:9" hidden="1">
      <c r="B74" s="645" t="s">
        <v>1103</v>
      </c>
      <c r="C74" s="998"/>
      <c r="D74" s="277"/>
      <c r="E74" s="278"/>
      <c r="F74" s="459">
        <f>+E74+D74</f>
        <v>0</v>
      </c>
      <c r="G74" s="278"/>
      <c r="H74" s="278"/>
      <c r="I74" s="283"/>
    </row>
    <row r="75" spans="2:9" hidden="1">
      <c r="B75" s="237"/>
      <c r="C75" s="237"/>
      <c r="D75" s="237"/>
      <c r="E75" s="237"/>
      <c r="F75" s="237"/>
      <c r="G75" s="237"/>
      <c r="H75" s="237"/>
      <c r="I75" s="237"/>
    </row>
    <row r="76" spans="2:9" hidden="1">
      <c r="B76" s="1003" t="s">
        <v>1114</v>
      </c>
      <c r="C76" s="1004"/>
      <c r="D76" s="198" t="s">
        <v>1077</v>
      </c>
      <c r="E76" s="198" t="s">
        <v>1078</v>
      </c>
      <c r="F76" s="198" t="s">
        <v>1660</v>
      </c>
      <c r="G76" s="198" t="s">
        <v>1079</v>
      </c>
      <c r="H76" s="198" t="s">
        <v>1080</v>
      </c>
      <c r="I76" s="282" t="s">
        <v>1081</v>
      </c>
    </row>
    <row r="77" spans="2:9" ht="45" hidden="1" customHeight="1">
      <c r="B77" s="645" t="s">
        <v>25</v>
      </c>
      <c r="C77" s="998"/>
      <c r="D77" s="999"/>
      <c r="E77" s="657"/>
      <c r="F77" s="657"/>
      <c r="G77" s="657"/>
      <c r="H77" s="657"/>
      <c r="I77" s="1022"/>
    </row>
    <row r="78" spans="2:9" hidden="1">
      <c r="B78" s="645" t="s">
        <v>1522</v>
      </c>
      <c r="C78" s="998"/>
      <c r="D78" s="277"/>
      <c r="E78" s="278"/>
      <c r="F78" s="257"/>
      <c r="G78" s="278"/>
      <c r="H78" s="278"/>
      <c r="I78" s="283"/>
    </row>
    <row r="79" spans="2:9" hidden="1">
      <c r="B79" s="645" t="s">
        <v>1101</v>
      </c>
      <c r="C79" s="998"/>
      <c r="D79" s="279"/>
      <c r="E79" s="279"/>
      <c r="F79" s="257"/>
      <c r="G79" s="279"/>
      <c r="H79" s="279"/>
      <c r="I79" s="284"/>
    </row>
    <row r="80" spans="2:9" hidden="1">
      <c r="B80" s="645" t="s">
        <v>1103</v>
      </c>
      <c r="C80" s="998"/>
      <c r="D80" s="277"/>
      <c r="E80" s="278"/>
      <c r="F80" s="459">
        <f>+E80+D80</f>
        <v>0</v>
      </c>
      <c r="G80" s="278"/>
      <c r="H80" s="278"/>
      <c r="I80" s="283"/>
    </row>
    <row r="81" spans="2:9" hidden="1">
      <c r="B81" s="237"/>
      <c r="C81" s="237"/>
      <c r="D81" s="237"/>
      <c r="E81" s="237"/>
      <c r="F81" s="237"/>
      <c r="G81" s="237"/>
      <c r="H81" s="237"/>
      <c r="I81" s="237"/>
    </row>
    <row r="82" spans="2:9" hidden="1">
      <c r="B82" s="1003" t="s">
        <v>1115</v>
      </c>
      <c r="C82" s="1004"/>
      <c r="D82" s="198" t="s">
        <v>1077</v>
      </c>
      <c r="E82" s="198" t="s">
        <v>1078</v>
      </c>
      <c r="F82" s="198" t="s">
        <v>1660</v>
      </c>
      <c r="G82" s="198" t="s">
        <v>1079</v>
      </c>
      <c r="H82" s="198" t="s">
        <v>1080</v>
      </c>
      <c r="I82" s="282" t="s">
        <v>1081</v>
      </c>
    </row>
    <row r="83" spans="2:9" ht="45" hidden="1" customHeight="1">
      <c r="B83" s="645" t="s">
        <v>25</v>
      </c>
      <c r="C83" s="998"/>
      <c r="D83" s="999"/>
      <c r="E83" s="657"/>
      <c r="F83" s="657"/>
      <c r="G83" s="657"/>
      <c r="H83" s="657"/>
      <c r="I83" s="1022"/>
    </row>
    <row r="84" spans="2:9" hidden="1">
      <c r="B84" s="645" t="s">
        <v>1522</v>
      </c>
      <c r="C84" s="998"/>
      <c r="D84" s="277"/>
      <c r="E84" s="278"/>
      <c r="F84" s="257"/>
      <c r="G84" s="278"/>
      <c r="H84" s="278"/>
      <c r="I84" s="283"/>
    </row>
    <row r="85" spans="2:9" hidden="1">
      <c r="B85" s="645" t="s">
        <v>1101</v>
      </c>
      <c r="C85" s="998"/>
      <c r="D85" s="279"/>
      <c r="E85" s="279"/>
      <c r="F85" s="257"/>
      <c r="G85" s="279"/>
      <c r="H85" s="279"/>
      <c r="I85" s="284"/>
    </row>
    <row r="86" spans="2:9" hidden="1">
      <c r="B86" s="645" t="s">
        <v>1103</v>
      </c>
      <c r="C86" s="998"/>
      <c r="D86" s="277"/>
      <c r="E86" s="278"/>
      <c r="F86" s="459">
        <f>+E86+D86</f>
        <v>0</v>
      </c>
      <c r="G86" s="278"/>
      <c r="H86" s="278"/>
      <c r="I86" s="283"/>
    </row>
    <row r="87" spans="2:9" hidden="1">
      <c r="B87" s="237"/>
      <c r="C87" s="237"/>
      <c r="D87" s="237"/>
      <c r="E87" s="237"/>
      <c r="F87" s="237"/>
      <c r="G87" s="237"/>
      <c r="H87" s="237"/>
      <c r="I87" s="237"/>
    </row>
    <row r="88" spans="2:9" hidden="1">
      <c r="B88" s="1003" t="s">
        <v>1116</v>
      </c>
      <c r="C88" s="1004"/>
      <c r="D88" s="198" t="s">
        <v>1077</v>
      </c>
      <c r="E88" s="198" t="s">
        <v>1078</v>
      </c>
      <c r="F88" s="198" t="s">
        <v>1660</v>
      </c>
      <c r="G88" s="198" t="s">
        <v>1079</v>
      </c>
      <c r="H88" s="198" t="s">
        <v>1080</v>
      </c>
      <c r="I88" s="282" t="s">
        <v>1081</v>
      </c>
    </row>
    <row r="89" spans="2:9" ht="45" hidden="1" customHeight="1">
      <c r="B89" s="645" t="s">
        <v>25</v>
      </c>
      <c r="C89" s="998"/>
      <c r="D89" s="999"/>
      <c r="E89" s="657"/>
      <c r="F89" s="657"/>
      <c r="G89" s="657"/>
      <c r="H89" s="657"/>
      <c r="I89" s="1022"/>
    </row>
    <row r="90" spans="2:9" hidden="1">
      <c r="B90" s="645" t="s">
        <v>1522</v>
      </c>
      <c r="C90" s="998"/>
      <c r="D90" s="277"/>
      <c r="E90" s="278"/>
      <c r="F90" s="257"/>
      <c r="G90" s="278"/>
      <c r="H90" s="278"/>
      <c r="I90" s="283"/>
    </row>
    <row r="91" spans="2:9" hidden="1">
      <c r="B91" s="645" t="s">
        <v>1101</v>
      </c>
      <c r="C91" s="998"/>
      <c r="D91" s="279"/>
      <c r="E91" s="279"/>
      <c r="F91" s="257"/>
      <c r="G91" s="279"/>
      <c r="H91" s="279"/>
      <c r="I91" s="284"/>
    </row>
    <row r="92" spans="2:9" hidden="1">
      <c r="B92" s="645" t="s">
        <v>1103</v>
      </c>
      <c r="C92" s="998"/>
      <c r="D92" s="277"/>
      <c r="E92" s="278"/>
      <c r="F92" s="459">
        <f>+E92+D92</f>
        <v>0</v>
      </c>
      <c r="G92" s="278"/>
      <c r="H92" s="278"/>
      <c r="I92" s="283"/>
    </row>
    <row r="93" spans="2:9" hidden="1">
      <c r="B93" s="237"/>
      <c r="C93" s="237"/>
      <c r="D93" s="237"/>
      <c r="E93" s="237"/>
      <c r="F93" s="237"/>
      <c r="G93" s="237"/>
      <c r="H93" s="237"/>
      <c r="I93" s="237"/>
    </row>
    <row r="94" spans="2:9" hidden="1">
      <c r="B94" s="1003" t="s">
        <v>1117</v>
      </c>
      <c r="C94" s="1004"/>
      <c r="D94" s="198" t="s">
        <v>1077</v>
      </c>
      <c r="E94" s="198" t="s">
        <v>1078</v>
      </c>
      <c r="F94" s="198" t="s">
        <v>1660</v>
      </c>
      <c r="G94" s="198" t="s">
        <v>1079</v>
      </c>
      <c r="H94" s="198" t="s">
        <v>1080</v>
      </c>
      <c r="I94" s="282" t="s">
        <v>1081</v>
      </c>
    </row>
    <row r="95" spans="2:9" ht="45" hidden="1" customHeight="1">
      <c r="B95" s="645" t="s">
        <v>25</v>
      </c>
      <c r="C95" s="998"/>
      <c r="D95" s="999"/>
      <c r="E95" s="657"/>
      <c r="F95" s="657"/>
      <c r="G95" s="657"/>
      <c r="H95" s="657"/>
      <c r="I95" s="1022"/>
    </row>
    <row r="96" spans="2:9" hidden="1">
      <c r="B96" s="645" t="s">
        <v>1522</v>
      </c>
      <c r="C96" s="998"/>
      <c r="D96" s="277"/>
      <c r="E96" s="278"/>
      <c r="F96" s="257"/>
      <c r="G96" s="278"/>
      <c r="H96" s="278"/>
      <c r="I96" s="283"/>
    </row>
    <row r="97" spans="2:9" hidden="1">
      <c r="B97" s="645" t="s">
        <v>1101</v>
      </c>
      <c r="C97" s="998"/>
      <c r="D97" s="279"/>
      <c r="E97" s="279"/>
      <c r="F97" s="257"/>
      <c r="G97" s="279"/>
      <c r="H97" s="279"/>
      <c r="I97" s="284"/>
    </row>
    <row r="98" spans="2:9" hidden="1">
      <c r="B98" s="645" t="s">
        <v>1103</v>
      </c>
      <c r="C98" s="998"/>
      <c r="D98" s="277"/>
      <c r="E98" s="278"/>
      <c r="F98" s="459">
        <f>+E98+D98</f>
        <v>0</v>
      </c>
      <c r="G98" s="278"/>
      <c r="H98" s="278"/>
      <c r="I98" s="283"/>
    </row>
    <row r="99" spans="2:9" hidden="1">
      <c r="B99" s="237"/>
      <c r="C99" s="237"/>
      <c r="D99" s="237"/>
      <c r="E99" s="237"/>
      <c r="F99" s="237"/>
      <c r="G99" s="237"/>
      <c r="H99" s="237"/>
      <c r="I99" s="237"/>
    </row>
    <row r="100" spans="2:9" hidden="1">
      <c r="B100" s="1003" t="s">
        <v>1118</v>
      </c>
      <c r="C100" s="1004"/>
      <c r="D100" s="198" t="s">
        <v>1077</v>
      </c>
      <c r="E100" s="198" t="s">
        <v>1078</v>
      </c>
      <c r="F100" s="198" t="s">
        <v>1660</v>
      </c>
      <c r="G100" s="198" t="s">
        <v>1079</v>
      </c>
      <c r="H100" s="198" t="s">
        <v>1080</v>
      </c>
      <c r="I100" s="282" t="s">
        <v>1081</v>
      </c>
    </row>
    <row r="101" spans="2:9" ht="45" hidden="1" customHeight="1">
      <c r="B101" s="645" t="s">
        <v>25</v>
      </c>
      <c r="C101" s="998"/>
      <c r="D101" s="999"/>
      <c r="E101" s="657"/>
      <c r="F101" s="657"/>
      <c r="G101" s="657"/>
      <c r="H101" s="657"/>
      <c r="I101" s="1022"/>
    </row>
    <row r="102" spans="2:9" hidden="1">
      <c r="B102" s="645" t="s">
        <v>1522</v>
      </c>
      <c r="C102" s="998"/>
      <c r="D102" s="277"/>
      <c r="E102" s="278"/>
      <c r="F102" s="257"/>
      <c r="G102" s="278"/>
      <c r="H102" s="278"/>
      <c r="I102" s="283"/>
    </row>
    <row r="103" spans="2:9" hidden="1">
      <c r="B103" s="645" t="s">
        <v>1101</v>
      </c>
      <c r="C103" s="998"/>
      <c r="D103" s="279"/>
      <c r="E103" s="279"/>
      <c r="F103" s="257"/>
      <c r="G103" s="279"/>
      <c r="H103" s="279"/>
      <c r="I103" s="284"/>
    </row>
    <row r="104" spans="2:9" hidden="1">
      <c r="B104" s="645" t="s">
        <v>1103</v>
      </c>
      <c r="C104" s="998"/>
      <c r="D104" s="277"/>
      <c r="E104" s="278"/>
      <c r="F104" s="459">
        <f>+E104+D104</f>
        <v>0</v>
      </c>
      <c r="G104" s="278"/>
      <c r="H104" s="278"/>
      <c r="I104" s="283"/>
    </row>
    <row r="105" spans="2:9" hidden="1">
      <c r="B105" s="237"/>
      <c r="C105" s="237"/>
      <c r="D105" s="237"/>
      <c r="E105" s="237"/>
      <c r="F105" s="237"/>
      <c r="G105" s="237"/>
      <c r="H105" s="237"/>
      <c r="I105" s="237"/>
    </row>
    <row r="106" spans="2:9" hidden="1">
      <c r="B106" s="1003" t="s">
        <v>1119</v>
      </c>
      <c r="C106" s="1004"/>
      <c r="D106" s="198" t="s">
        <v>1077</v>
      </c>
      <c r="E106" s="198" t="s">
        <v>1078</v>
      </c>
      <c r="F106" s="198" t="s">
        <v>1660</v>
      </c>
      <c r="G106" s="198" t="s">
        <v>1079</v>
      </c>
      <c r="H106" s="198" t="s">
        <v>1080</v>
      </c>
      <c r="I106" s="282" t="s">
        <v>1081</v>
      </c>
    </row>
    <row r="107" spans="2:9" ht="45" hidden="1" customHeight="1">
      <c r="B107" s="645" t="s">
        <v>25</v>
      </c>
      <c r="C107" s="998"/>
      <c r="D107" s="999"/>
      <c r="E107" s="657"/>
      <c r="F107" s="657"/>
      <c r="G107" s="657"/>
      <c r="H107" s="657"/>
      <c r="I107" s="1022"/>
    </row>
    <row r="108" spans="2:9" hidden="1">
      <c r="B108" s="645" t="s">
        <v>1522</v>
      </c>
      <c r="C108" s="998"/>
      <c r="D108" s="277"/>
      <c r="E108" s="278"/>
      <c r="F108" s="257"/>
      <c r="G108" s="278"/>
      <c r="H108" s="278"/>
      <c r="I108" s="283"/>
    </row>
    <row r="109" spans="2:9" hidden="1">
      <c r="B109" s="645" t="s">
        <v>1101</v>
      </c>
      <c r="C109" s="998"/>
      <c r="D109" s="279"/>
      <c r="E109" s="279"/>
      <c r="F109" s="257"/>
      <c r="G109" s="279"/>
      <c r="H109" s="279"/>
      <c r="I109" s="284"/>
    </row>
    <row r="110" spans="2:9" hidden="1">
      <c r="B110" s="645" t="s">
        <v>1103</v>
      </c>
      <c r="C110" s="998"/>
      <c r="D110" s="277"/>
      <c r="E110" s="278"/>
      <c r="F110" s="459">
        <f>+E110+D110</f>
        <v>0</v>
      </c>
      <c r="G110" s="278"/>
      <c r="H110" s="278"/>
      <c r="I110" s="283"/>
    </row>
    <row r="111" spans="2:9" hidden="1">
      <c r="B111" s="237"/>
      <c r="C111" s="237"/>
      <c r="D111" s="237"/>
      <c r="E111" s="237"/>
      <c r="F111" s="237"/>
      <c r="G111" s="237"/>
      <c r="H111" s="237"/>
      <c r="I111" s="237"/>
    </row>
    <row r="112" spans="2:9" hidden="1">
      <c r="B112" s="1003" t="s">
        <v>1120</v>
      </c>
      <c r="C112" s="1004"/>
      <c r="D112" s="198" t="s">
        <v>1077</v>
      </c>
      <c r="E112" s="198" t="s">
        <v>1078</v>
      </c>
      <c r="F112" s="198" t="s">
        <v>1660</v>
      </c>
      <c r="G112" s="198" t="s">
        <v>1079</v>
      </c>
      <c r="H112" s="198" t="s">
        <v>1080</v>
      </c>
      <c r="I112" s="282" t="s">
        <v>1081</v>
      </c>
    </row>
    <row r="113" spans="2:9" ht="45" hidden="1" customHeight="1">
      <c r="B113" s="645" t="s">
        <v>25</v>
      </c>
      <c r="C113" s="998"/>
      <c r="D113" s="999"/>
      <c r="E113" s="657"/>
      <c r="F113" s="657"/>
      <c r="G113" s="657"/>
      <c r="H113" s="657"/>
      <c r="I113" s="1022"/>
    </row>
    <row r="114" spans="2:9" hidden="1">
      <c r="B114" s="645" t="s">
        <v>1522</v>
      </c>
      <c r="C114" s="998"/>
      <c r="D114" s="277"/>
      <c r="E114" s="278"/>
      <c r="F114" s="257"/>
      <c r="G114" s="278"/>
      <c r="H114" s="278"/>
      <c r="I114" s="283"/>
    </row>
    <row r="115" spans="2:9" hidden="1">
      <c r="B115" s="645" t="s">
        <v>1101</v>
      </c>
      <c r="C115" s="998"/>
      <c r="D115" s="279"/>
      <c r="E115" s="279"/>
      <c r="F115" s="257"/>
      <c r="G115" s="279"/>
      <c r="H115" s="279"/>
      <c r="I115" s="284"/>
    </row>
    <row r="116" spans="2:9" hidden="1">
      <c r="B116" s="645" t="s">
        <v>1103</v>
      </c>
      <c r="C116" s="998"/>
      <c r="D116" s="277"/>
      <c r="E116" s="278"/>
      <c r="F116" s="459">
        <f>+E116+D116</f>
        <v>0</v>
      </c>
      <c r="G116" s="278"/>
      <c r="H116" s="278"/>
      <c r="I116" s="283"/>
    </row>
    <row r="117" spans="2:9" hidden="1">
      <c r="B117" s="237"/>
      <c r="C117" s="237"/>
      <c r="D117" s="237"/>
      <c r="E117" s="237"/>
      <c r="F117" s="237"/>
      <c r="G117" s="237"/>
      <c r="H117" s="237"/>
      <c r="I117" s="237"/>
    </row>
    <row r="118" spans="2:9" hidden="1">
      <c r="B118" s="1003" t="s">
        <v>1121</v>
      </c>
      <c r="C118" s="1004"/>
      <c r="D118" s="198" t="s">
        <v>1077</v>
      </c>
      <c r="E118" s="198" t="s">
        <v>1078</v>
      </c>
      <c r="F118" s="198" t="s">
        <v>1660</v>
      </c>
      <c r="G118" s="198" t="s">
        <v>1079</v>
      </c>
      <c r="H118" s="198" t="s">
        <v>1080</v>
      </c>
      <c r="I118" s="282" t="s">
        <v>1081</v>
      </c>
    </row>
    <row r="119" spans="2:9" ht="45" hidden="1" customHeight="1">
      <c r="B119" s="645" t="s">
        <v>25</v>
      </c>
      <c r="C119" s="998"/>
      <c r="D119" s="999"/>
      <c r="E119" s="657"/>
      <c r="F119" s="657"/>
      <c r="G119" s="657"/>
      <c r="H119" s="657"/>
      <c r="I119" s="1022"/>
    </row>
    <row r="120" spans="2:9" hidden="1">
      <c r="B120" s="645" t="s">
        <v>1522</v>
      </c>
      <c r="C120" s="998"/>
      <c r="D120" s="277"/>
      <c r="E120" s="278"/>
      <c r="F120" s="257"/>
      <c r="G120" s="278"/>
      <c r="H120" s="278"/>
      <c r="I120" s="283"/>
    </row>
    <row r="121" spans="2:9" hidden="1">
      <c r="B121" s="645" t="s">
        <v>1101</v>
      </c>
      <c r="C121" s="998"/>
      <c r="D121" s="279"/>
      <c r="E121" s="279"/>
      <c r="F121" s="257"/>
      <c r="G121" s="279"/>
      <c r="H121" s="279"/>
      <c r="I121" s="284"/>
    </row>
    <row r="122" spans="2:9" hidden="1">
      <c r="B122" s="645" t="s">
        <v>1103</v>
      </c>
      <c r="C122" s="998"/>
      <c r="D122" s="277"/>
      <c r="E122" s="278"/>
      <c r="F122" s="459">
        <f>+E122+D122</f>
        <v>0</v>
      </c>
      <c r="G122" s="278"/>
      <c r="H122" s="278"/>
      <c r="I122" s="283"/>
    </row>
    <row r="123" spans="2:9" hidden="1">
      <c r="B123" s="237"/>
      <c r="C123" s="237"/>
      <c r="D123" s="237"/>
      <c r="E123" s="237"/>
      <c r="F123" s="237"/>
      <c r="G123" s="237"/>
      <c r="H123" s="237"/>
      <c r="I123" s="237"/>
    </row>
    <row r="124" spans="2:9" hidden="1">
      <c r="B124" s="1003" t="s">
        <v>1122</v>
      </c>
      <c r="C124" s="1004"/>
      <c r="D124" s="198" t="s">
        <v>1077</v>
      </c>
      <c r="E124" s="198" t="s">
        <v>1078</v>
      </c>
      <c r="F124" s="198" t="s">
        <v>1660</v>
      </c>
      <c r="G124" s="198" t="s">
        <v>1079</v>
      </c>
      <c r="H124" s="198" t="s">
        <v>1080</v>
      </c>
      <c r="I124" s="282" t="s">
        <v>1081</v>
      </c>
    </row>
    <row r="125" spans="2:9" ht="45" hidden="1" customHeight="1">
      <c r="B125" s="645" t="s">
        <v>25</v>
      </c>
      <c r="C125" s="998"/>
      <c r="D125" s="999"/>
      <c r="E125" s="657"/>
      <c r="F125" s="657"/>
      <c r="G125" s="657"/>
      <c r="H125" s="657"/>
      <c r="I125" s="1022"/>
    </row>
    <row r="126" spans="2:9" hidden="1">
      <c r="B126" s="645" t="s">
        <v>1522</v>
      </c>
      <c r="C126" s="998"/>
      <c r="D126" s="277"/>
      <c r="E126" s="278"/>
      <c r="F126" s="257"/>
      <c r="G126" s="278"/>
      <c r="H126" s="278"/>
      <c r="I126" s="283"/>
    </row>
    <row r="127" spans="2:9" hidden="1">
      <c r="B127" s="645" t="s">
        <v>1101</v>
      </c>
      <c r="C127" s="998"/>
      <c r="D127" s="279"/>
      <c r="E127" s="279"/>
      <c r="F127" s="257"/>
      <c r="G127" s="279"/>
      <c r="H127" s="279"/>
      <c r="I127" s="284"/>
    </row>
    <row r="128" spans="2:9" hidden="1">
      <c r="B128" s="645" t="s">
        <v>1103</v>
      </c>
      <c r="C128" s="998"/>
      <c r="D128" s="277"/>
      <c r="E128" s="278"/>
      <c r="F128" s="459">
        <f>+E128+D128</f>
        <v>0</v>
      </c>
      <c r="G128" s="278"/>
      <c r="H128" s="278"/>
      <c r="I128" s="283"/>
    </row>
    <row r="129" spans="2:9" hidden="1">
      <c r="B129" s="237"/>
      <c r="C129" s="237"/>
      <c r="D129" s="237"/>
      <c r="E129" s="237"/>
      <c r="F129" s="237"/>
      <c r="G129" s="237"/>
      <c r="H129" s="237"/>
      <c r="I129" s="237"/>
    </row>
    <row r="130" spans="2:9">
      <c r="B130" s="1003" t="s">
        <v>1123</v>
      </c>
      <c r="C130" s="1004"/>
      <c r="D130" s="198" t="s">
        <v>1077</v>
      </c>
      <c r="E130" s="198" t="s">
        <v>1078</v>
      </c>
      <c r="F130" s="198" t="s">
        <v>1660</v>
      </c>
      <c r="G130" s="198" t="s">
        <v>1079</v>
      </c>
      <c r="H130" s="198" t="s">
        <v>1080</v>
      </c>
      <c r="I130" s="282" t="s">
        <v>1081</v>
      </c>
    </row>
    <row r="131" spans="2:9" ht="45" customHeight="1">
      <c r="B131" s="645" t="s">
        <v>25</v>
      </c>
      <c r="C131" s="998"/>
      <c r="D131" s="999"/>
      <c r="E131" s="657"/>
      <c r="F131" s="657"/>
      <c r="G131" s="657"/>
      <c r="H131" s="657"/>
      <c r="I131" s="1022"/>
    </row>
    <row r="132" spans="2:9">
      <c r="B132" s="645" t="s">
        <v>1522</v>
      </c>
      <c r="C132" s="998"/>
      <c r="D132" s="277"/>
      <c r="E132" s="278"/>
      <c r="F132" s="257"/>
      <c r="G132" s="278"/>
      <c r="H132" s="278"/>
      <c r="I132" s="283"/>
    </row>
    <row r="133" spans="2:9">
      <c r="B133" s="645" t="s">
        <v>1124</v>
      </c>
      <c r="C133" s="998"/>
      <c r="D133" s="458" t="str">
        <f>IFERROR(D134/D132,"-")</f>
        <v>-</v>
      </c>
      <c r="E133" s="458" t="str">
        <f t="shared" ref="E133:I133" si="0">IFERROR(E134/E132,"-")</f>
        <v>-</v>
      </c>
      <c r="F133" s="257"/>
      <c r="G133" s="458" t="str">
        <f t="shared" si="0"/>
        <v>-</v>
      </c>
      <c r="H133" s="458" t="str">
        <f t="shared" si="0"/>
        <v>-</v>
      </c>
      <c r="I133" s="460" t="str">
        <f t="shared" si="0"/>
        <v>-</v>
      </c>
    </row>
    <row r="134" spans="2:9">
      <c r="B134" s="645" t="s">
        <v>1103</v>
      </c>
      <c r="C134" s="998"/>
      <c r="D134" s="277"/>
      <c r="E134" s="278"/>
      <c r="F134" s="459">
        <f>+E134+D134</f>
        <v>0</v>
      </c>
      <c r="G134" s="278"/>
      <c r="H134" s="278"/>
      <c r="I134" s="283"/>
    </row>
    <row r="135" spans="2:9">
      <c r="B135" s="237"/>
      <c r="C135" s="237"/>
      <c r="D135" s="237"/>
      <c r="E135" s="237"/>
      <c r="F135" s="237"/>
      <c r="G135" s="237"/>
      <c r="H135" s="237"/>
      <c r="I135" s="237"/>
    </row>
    <row r="136" spans="2:9">
      <c r="B136" s="1003" t="s">
        <v>1125</v>
      </c>
      <c r="C136" s="1004"/>
      <c r="D136" s="198" t="s">
        <v>1077</v>
      </c>
      <c r="E136" s="198" t="s">
        <v>1078</v>
      </c>
      <c r="F136" s="198" t="s">
        <v>1660</v>
      </c>
      <c r="G136" s="198" t="s">
        <v>1079</v>
      </c>
      <c r="H136" s="198" t="s">
        <v>1080</v>
      </c>
      <c r="I136" s="282" t="s">
        <v>1081</v>
      </c>
    </row>
    <row r="137" spans="2:9">
      <c r="B137" s="1003" t="s">
        <v>1471</v>
      </c>
      <c r="C137" s="1004"/>
      <c r="D137" s="459">
        <f>D132+D126+D120+D114+D108+D102+D96+D90+D84+D78+D72+D66+D60+D54+D48+D42+D36+D30+D24+D18+D12</f>
        <v>0</v>
      </c>
      <c r="E137" s="459">
        <f t="shared" ref="E137:I139" si="1">E132+E126+E120+E114+E108+E102+E96+E90+E84+E78+E72+E66+E60+E54+E48+E42+E36+E30+E24+E18+E12</f>
        <v>0</v>
      </c>
      <c r="F137" s="257"/>
      <c r="G137" s="459">
        <f t="shared" si="1"/>
        <v>0</v>
      </c>
      <c r="H137" s="459">
        <f t="shared" si="1"/>
        <v>0</v>
      </c>
      <c r="I137" s="459">
        <f t="shared" si="1"/>
        <v>0</v>
      </c>
    </row>
    <row r="138" spans="2:9">
      <c r="B138" s="1003" t="s">
        <v>1124</v>
      </c>
      <c r="C138" s="1004"/>
      <c r="D138" s="458" t="str">
        <f>IFERROR(D139/D137,"-")</f>
        <v>-</v>
      </c>
      <c r="E138" s="458" t="str">
        <f t="shared" ref="E138" si="2">IFERROR(E139/E137,"-")</f>
        <v>-</v>
      </c>
      <c r="F138" s="257"/>
      <c r="G138" s="458" t="str">
        <f t="shared" ref="G138" si="3">IFERROR(G139/G137,"-")</f>
        <v>-</v>
      </c>
      <c r="H138" s="458" t="str">
        <f t="shared" ref="H138" si="4">IFERROR(H139/H137,"-")</f>
        <v>-</v>
      </c>
      <c r="I138" s="460" t="str">
        <f t="shared" ref="I138" si="5">IFERROR(I139/I137,"-")</f>
        <v>-</v>
      </c>
    </row>
    <row r="139" spans="2:9">
      <c r="B139" s="1023" t="s">
        <v>1103</v>
      </c>
      <c r="C139" s="1024"/>
      <c r="D139" s="459">
        <f>D134+D128+D122+D116+D110+D104+D98+D92+D86+D80+D74+D68+D62+D56+D50+D44+D38+D32+D26+D20+D14</f>
        <v>0</v>
      </c>
      <c r="E139" s="459">
        <f t="shared" si="1"/>
        <v>0</v>
      </c>
      <c r="F139" s="459">
        <f>+E139+D139</f>
        <v>0</v>
      </c>
      <c r="G139" s="459">
        <f t="shared" si="1"/>
        <v>0</v>
      </c>
      <c r="H139" s="459">
        <f t="shared" si="1"/>
        <v>0</v>
      </c>
      <c r="I139" s="459">
        <f t="shared" si="1"/>
        <v>0</v>
      </c>
    </row>
  </sheetData>
  <sheetProtection formatCells="0" formatColumns="0" formatRows="0" insertHyperlinks="0"/>
  <mergeCells count="134">
    <mergeCell ref="B137:C137"/>
    <mergeCell ref="B138:C138"/>
    <mergeCell ref="B139:C139"/>
    <mergeCell ref="B136:C136"/>
    <mergeCell ref="B130:C130"/>
    <mergeCell ref="B131:C131"/>
    <mergeCell ref="D131:I131"/>
    <mergeCell ref="B132:C132"/>
    <mergeCell ref="B133:C133"/>
    <mergeCell ref="B134:C134"/>
    <mergeCell ref="B124:C124"/>
    <mergeCell ref="B125:C125"/>
    <mergeCell ref="D125:I125"/>
    <mergeCell ref="B126:C126"/>
    <mergeCell ref="B127:C127"/>
    <mergeCell ref="B128:C128"/>
    <mergeCell ref="B118:C118"/>
    <mergeCell ref="B119:C119"/>
    <mergeCell ref="D119:I119"/>
    <mergeCell ref="B120:C120"/>
    <mergeCell ref="B121:C121"/>
    <mergeCell ref="B122:C122"/>
    <mergeCell ref="B112:C112"/>
    <mergeCell ref="B113:C113"/>
    <mergeCell ref="D113:I113"/>
    <mergeCell ref="B114:C114"/>
    <mergeCell ref="B115:C115"/>
    <mergeCell ref="B116:C116"/>
    <mergeCell ref="B106:C106"/>
    <mergeCell ref="B107:C107"/>
    <mergeCell ref="D107:I107"/>
    <mergeCell ref="B108:C108"/>
    <mergeCell ref="B109:C109"/>
    <mergeCell ref="B110:C110"/>
    <mergeCell ref="B100:C100"/>
    <mergeCell ref="B101:C101"/>
    <mergeCell ref="D101:I101"/>
    <mergeCell ref="B102:C102"/>
    <mergeCell ref="B103:C103"/>
    <mergeCell ref="B104:C104"/>
    <mergeCell ref="B94:C94"/>
    <mergeCell ref="B95:C95"/>
    <mergeCell ref="D95:I95"/>
    <mergeCell ref="B96:C96"/>
    <mergeCell ref="B97:C97"/>
    <mergeCell ref="B98:C98"/>
    <mergeCell ref="D47:I47"/>
    <mergeCell ref="B52:C52"/>
    <mergeCell ref="D53:I53"/>
    <mergeCell ref="B58:C58"/>
    <mergeCell ref="B30:C30"/>
    <mergeCell ref="B31:C31"/>
    <mergeCell ref="B32:C32"/>
    <mergeCell ref="D35:I35"/>
    <mergeCell ref="B36:C36"/>
    <mergeCell ref="B37:C37"/>
    <mergeCell ref="B41:C41"/>
    <mergeCell ref="D41:I41"/>
    <mergeCell ref="B42:C42"/>
    <mergeCell ref="B43:C43"/>
    <mergeCell ref="B34:C34"/>
    <mergeCell ref="B35:C35"/>
    <mergeCell ref="B38:C38"/>
    <mergeCell ref="B40:C40"/>
    <mergeCell ref="B50:C50"/>
    <mergeCell ref="B53:C53"/>
    <mergeCell ref="B54:C54"/>
    <mergeCell ref="B55:C55"/>
    <mergeCell ref="B56:C56"/>
    <mergeCell ref="B47:C47"/>
    <mergeCell ref="D29:I29"/>
    <mergeCell ref="D17:I17"/>
    <mergeCell ref="B18:C18"/>
    <mergeCell ref="B19:C19"/>
    <mergeCell ref="B20:C20"/>
    <mergeCell ref="B22:C22"/>
    <mergeCell ref="B23:C23"/>
    <mergeCell ref="D23:I23"/>
    <mergeCell ref="B44:C44"/>
    <mergeCell ref="B48:C48"/>
    <mergeCell ref="B49:C49"/>
    <mergeCell ref="B24:C24"/>
    <mergeCell ref="B25:C25"/>
    <mergeCell ref="B26:C26"/>
    <mergeCell ref="B28:C28"/>
    <mergeCell ref="B29:C29"/>
    <mergeCell ref="B46:C46"/>
    <mergeCell ref="B88:C88"/>
    <mergeCell ref="B89:C89"/>
    <mergeCell ref="D89:I89"/>
    <mergeCell ref="B90:C90"/>
    <mergeCell ref="B70:C70"/>
    <mergeCell ref="B71:C71"/>
    <mergeCell ref="B72:C72"/>
    <mergeCell ref="B73:C73"/>
    <mergeCell ref="B59:C59"/>
    <mergeCell ref="D59:I59"/>
    <mergeCell ref="B60:C60"/>
    <mergeCell ref="B67:C67"/>
    <mergeCell ref="B68:C68"/>
    <mergeCell ref="D71:I71"/>
    <mergeCell ref="D77:I77"/>
    <mergeCell ref="D83:I83"/>
    <mergeCell ref="B84:C84"/>
    <mergeCell ref="B61:C61"/>
    <mergeCell ref="B62:C62"/>
    <mergeCell ref="B64:C64"/>
    <mergeCell ref="B65:C65"/>
    <mergeCell ref="D65:I65"/>
    <mergeCell ref="B66:C66"/>
    <mergeCell ref="B14:C14"/>
    <mergeCell ref="B4:C4"/>
    <mergeCell ref="B6:G6"/>
    <mergeCell ref="H6:I6"/>
    <mergeCell ref="B10:C10"/>
    <mergeCell ref="B12:C12"/>
    <mergeCell ref="B13:C13"/>
    <mergeCell ref="B91:C91"/>
    <mergeCell ref="B92:C92"/>
    <mergeCell ref="B80:C80"/>
    <mergeCell ref="B82:C82"/>
    <mergeCell ref="B83:C83"/>
    <mergeCell ref="B85:C85"/>
    <mergeCell ref="B86:C86"/>
    <mergeCell ref="B74:C74"/>
    <mergeCell ref="B76:C76"/>
    <mergeCell ref="B77:C77"/>
    <mergeCell ref="B78:C78"/>
    <mergeCell ref="B79:C79"/>
    <mergeCell ref="B8:I8"/>
    <mergeCell ref="B11:C11"/>
    <mergeCell ref="D11:I11"/>
    <mergeCell ref="B16:C16"/>
    <mergeCell ref="B17:C17"/>
  </mergeCells>
  <conditionalFormatting sqref="B4:C4 H6:I6 D133:E133 G133:I133 D139 D137:E138 G137:I138">
    <cfRule type="expression" dxfId="147" priority="23">
      <formula>$A$2="PRINT"</formula>
    </cfRule>
  </conditionalFormatting>
  <conditionalFormatting sqref="E139:I139">
    <cfRule type="expression" dxfId="146" priority="22">
      <formula>$A$2="PRINT"</formula>
    </cfRule>
  </conditionalFormatting>
  <conditionalFormatting sqref="F134">
    <cfRule type="expression" dxfId="145" priority="21">
      <formula>$A$2="PRINT"</formula>
    </cfRule>
  </conditionalFormatting>
  <conditionalFormatting sqref="F128">
    <cfRule type="expression" dxfId="144" priority="20">
      <formula>$A$2="PRINT"</formula>
    </cfRule>
  </conditionalFormatting>
  <conditionalFormatting sqref="F122">
    <cfRule type="expression" dxfId="143" priority="19">
      <formula>$A$2="PRINT"</formula>
    </cfRule>
  </conditionalFormatting>
  <conditionalFormatting sqref="F116">
    <cfRule type="expression" dxfId="142" priority="18">
      <formula>$A$2="PRINT"</formula>
    </cfRule>
  </conditionalFormatting>
  <conditionalFormatting sqref="F110">
    <cfRule type="expression" dxfId="141" priority="17">
      <formula>$A$2="PRINT"</formula>
    </cfRule>
  </conditionalFormatting>
  <conditionalFormatting sqref="F104">
    <cfRule type="expression" dxfId="140" priority="16">
      <formula>$A$2="PRINT"</formula>
    </cfRule>
  </conditionalFormatting>
  <conditionalFormatting sqref="F98">
    <cfRule type="expression" dxfId="139" priority="15">
      <formula>$A$2="PRINT"</formula>
    </cfRule>
  </conditionalFormatting>
  <conditionalFormatting sqref="F92">
    <cfRule type="expression" dxfId="138" priority="14">
      <formula>$A$2="PRINT"</formula>
    </cfRule>
  </conditionalFormatting>
  <conditionalFormatting sqref="F86">
    <cfRule type="expression" dxfId="137" priority="13">
      <formula>$A$2="PRINT"</formula>
    </cfRule>
  </conditionalFormatting>
  <conditionalFormatting sqref="F80">
    <cfRule type="expression" dxfId="136" priority="12">
      <formula>$A$2="PRINT"</formula>
    </cfRule>
  </conditionalFormatting>
  <conditionalFormatting sqref="F74">
    <cfRule type="expression" dxfId="135" priority="11">
      <formula>$A$2="PRINT"</formula>
    </cfRule>
  </conditionalFormatting>
  <conditionalFormatting sqref="F68">
    <cfRule type="expression" dxfId="134" priority="10">
      <formula>$A$2="PRINT"</formula>
    </cfRule>
  </conditionalFormatting>
  <conditionalFormatting sqref="F62">
    <cfRule type="expression" dxfId="133" priority="9">
      <formula>$A$2="PRINT"</formula>
    </cfRule>
  </conditionalFormatting>
  <conditionalFormatting sqref="F56">
    <cfRule type="expression" dxfId="132" priority="8">
      <formula>$A$2="PRINT"</formula>
    </cfRule>
  </conditionalFormatting>
  <conditionalFormatting sqref="F50">
    <cfRule type="expression" dxfId="131" priority="7">
      <formula>$A$2="PRINT"</formula>
    </cfRule>
  </conditionalFormatting>
  <conditionalFormatting sqref="F44">
    <cfRule type="expression" dxfId="130" priority="6">
      <formula>$A$2="PRINT"</formula>
    </cfRule>
  </conditionalFormatting>
  <conditionalFormatting sqref="F38">
    <cfRule type="expression" dxfId="129" priority="5">
      <formula>$A$2="PRINT"</formula>
    </cfRule>
  </conditionalFormatting>
  <conditionalFormatting sqref="F32">
    <cfRule type="expression" dxfId="128" priority="4">
      <formula>$A$2="PRINT"</formula>
    </cfRule>
  </conditionalFormatting>
  <conditionalFormatting sqref="F26">
    <cfRule type="expression" dxfId="127" priority="3">
      <formula>$A$2="PRINT"</formula>
    </cfRule>
  </conditionalFormatting>
  <conditionalFormatting sqref="F20">
    <cfRule type="expression" dxfId="126" priority="2">
      <formula>$A$2="PRINT"</formula>
    </cfRule>
  </conditionalFormatting>
  <conditionalFormatting sqref="F14">
    <cfRule type="expression" dxfId="125" priority="1">
      <formula>$A$2="PRINT"</formula>
    </cfRule>
  </conditionalFormatting>
  <dataValidations count="1">
    <dataValidation type="list" allowBlank="1" showInputMessage="1" showErrorMessage="1" sqref="H6:I6" xr:uid="{00000000-0002-0000-3000-000000000000}">
      <formula1>"Select,1,2,3,4,5,6,7,8,9,10,11,12,13,14,15,16,17,18,19,20"</formula1>
    </dataValidation>
  </dataValidations>
  <pageMargins left="0.70866141732283472" right="0.70866141732283472" top="0.74803149606299213" bottom="0.74803149606299213" header="0.31496062992125984" footer="0.31496062992125984"/>
  <pageSetup paperSize="9" scale="70" fitToHeight="0" orientation="portrait" r:id="rId1"/>
  <headerFooter>
    <oddFooter>&amp;C&amp;P</oddFooter>
  </headerFooter>
  <drawing r:id="rId2"/>
  <pictur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tabColor theme="1"/>
    <pageSetUpPr fitToPage="1"/>
  </sheetPr>
  <dimension ref="A1:F36"/>
  <sheetViews>
    <sheetView showGridLines="0" tabSelected="1" topLeftCell="A19" zoomScale="120" zoomScaleNormal="12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16384" width="9.140625" style="10"/>
  </cols>
  <sheetData>
    <row r="1" spans="1:6" s="9" customFormat="1">
      <c r="A1" s="8"/>
      <c r="C1" s="36"/>
      <c r="D1" s="37"/>
    </row>
    <row r="2" spans="1:6" ht="21">
      <c r="A2" s="104"/>
      <c r="B2" s="621" t="s">
        <v>228</v>
      </c>
      <c r="C2" s="621"/>
      <c r="D2" s="621"/>
      <c r="E2" s="621"/>
      <c r="F2" s="621"/>
    </row>
    <row r="3" spans="1:6">
      <c r="B3" s="138"/>
      <c r="C3" s="139"/>
      <c r="D3" s="140"/>
      <c r="E3" s="138"/>
      <c r="F3" s="138"/>
    </row>
    <row r="4" spans="1:6" ht="15" customHeight="1">
      <c r="B4"/>
      <c r="C4"/>
      <c r="D4"/>
      <c r="E4"/>
      <c r="F4"/>
    </row>
    <row r="5" spans="1:6">
      <c r="B5" s="372" t="s">
        <v>972</v>
      </c>
      <c r="C5"/>
      <c r="D5"/>
      <c r="E5"/>
      <c r="F5"/>
    </row>
    <row r="6" spans="1:6">
      <c r="B6" s="110" t="s">
        <v>1470</v>
      </c>
      <c r="C6"/>
      <c r="D6"/>
      <c r="E6"/>
      <c r="F6"/>
    </row>
    <row r="7" spans="1:6">
      <c r="B7" s="110" t="s">
        <v>274</v>
      </c>
      <c r="C7"/>
      <c r="D7"/>
      <c r="E7"/>
      <c r="F7"/>
    </row>
    <row r="8" spans="1:6">
      <c r="B8" s="110" t="s">
        <v>275</v>
      </c>
      <c r="C8"/>
      <c r="D8"/>
      <c r="E8"/>
      <c r="F8"/>
    </row>
    <row r="9" spans="1:6">
      <c r="B9" s="110" t="s">
        <v>265</v>
      </c>
      <c r="C9"/>
      <c r="D9"/>
      <c r="E9"/>
      <c r="F9"/>
    </row>
    <row r="10" spans="1:6">
      <c r="B10"/>
      <c r="C10"/>
      <c r="D10"/>
      <c r="E10"/>
      <c r="F10"/>
    </row>
    <row r="11" spans="1:6">
      <c r="B11" s="372" t="s">
        <v>252</v>
      </c>
      <c r="C11"/>
      <c r="D11"/>
      <c r="E11"/>
      <c r="F11"/>
    </row>
    <row r="12" spans="1:6">
      <c r="B12" s="111" t="s">
        <v>980</v>
      </c>
      <c r="C12"/>
      <c r="D12"/>
      <c r="E12"/>
      <c r="F12"/>
    </row>
    <row r="13" spans="1:6">
      <c r="B13" s="111" t="s">
        <v>279</v>
      </c>
      <c r="C13"/>
      <c r="D13"/>
      <c r="E13"/>
      <c r="F13"/>
    </row>
    <row r="14" spans="1:6">
      <c r="B14"/>
      <c r="C14"/>
      <c r="D14"/>
      <c r="E14"/>
      <c r="F14"/>
    </row>
    <row r="15" spans="1:6">
      <c r="B15" s="372" t="s">
        <v>224</v>
      </c>
      <c r="C15"/>
      <c r="D15"/>
      <c r="E15"/>
      <c r="F15"/>
    </row>
    <row r="16" spans="1:6">
      <c r="B16" s="110" t="s">
        <v>374</v>
      </c>
    </row>
    <row r="17" spans="2:2">
      <c r="B17" s="110" t="s">
        <v>373</v>
      </c>
    </row>
    <row r="18" spans="2:2">
      <c r="B18" s="110" t="s">
        <v>372</v>
      </c>
    </row>
    <row r="20" spans="2:2">
      <c r="B20" s="372" t="s">
        <v>315</v>
      </c>
    </row>
    <row r="21" spans="2:2">
      <c r="B21" s="110" t="s">
        <v>1392</v>
      </c>
    </row>
    <row r="22" spans="2:2">
      <c r="B22" s="110" t="s">
        <v>305</v>
      </c>
    </row>
    <row r="24" spans="2:2">
      <c r="B24" s="372" t="s">
        <v>1473</v>
      </c>
    </row>
    <row r="26" spans="2:2">
      <c r="B26" s="372" t="s">
        <v>270</v>
      </c>
    </row>
    <row r="28" spans="2:2">
      <c r="B28" s="372" t="s">
        <v>990</v>
      </c>
    </row>
    <row r="29" spans="2:2">
      <c r="B29" s="110" t="s">
        <v>295</v>
      </c>
    </row>
    <row r="30" spans="2:2">
      <c r="B30" s="110" t="s">
        <v>296</v>
      </c>
    </row>
    <row r="33" spans="2:2">
      <c r="B33" s="124" t="s">
        <v>1183</v>
      </c>
    </row>
    <row r="34" spans="2:2">
      <c r="B34" s="123" t="s">
        <v>915</v>
      </c>
    </row>
    <row r="35" spans="2:2">
      <c r="B35" s="123" t="s">
        <v>1173</v>
      </c>
    </row>
    <row r="36" spans="2:2">
      <c r="B36" s="123" t="s">
        <v>1180</v>
      </c>
    </row>
  </sheetData>
  <sheetProtection formatCells="0" formatColumns="0" formatRows="0" insertHyperlinks="0"/>
  <mergeCells count="1">
    <mergeCell ref="B2:F2"/>
  </mergeCells>
  <hyperlinks>
    <hyperlink ref="B5" location="'1.1 The situation'!B4" display="1.1 The situation" xr:uid="{00000000-0004-0000-0400-000000000000}"/>
    <hyperlink ref="B6" location="'1.1 The situation'!B8" display="1.1.1 - List of ANSPs and geographical scope of services" xr:uid="{00000000-0004-0000-0400-000001000000}"/>
    <hyperlink ref="B7" location="'1.1 The situation'!B61" display="1.1.2 - Other entities in the scope of the Performance and Charging Regulation as per Article 1(2) last para." xr:uid="{00000000-0004-0000-0400-000002000000}"/>
    <hyperlink ref="B8" location="'1.1 The situation'!B77" display="1.1.3 - Charging zones (see also 1.4-List of Airports)" xr:uid="{00000000-0004-0000-0400-000003000000}"/>
    <hyperlink ref="B9" location="'1.1 The situation'!B101" display="1.1.4 - Other general information relevant to the plan" xr:uid="{00000000-0004-0000-0400-000004000000}"/>
    <hyperlink ref="B11" location="'1.2 Traffic forecasts'!B2" display="1.2 - Traffic Forecasts" xr:uid="{00000000-0004-0000-0400-000005000000}"/>
    <hyperlink ref="B12" location="'1.2 Traffic forecasts'!B4" display="1.2.1 - En route" xr:uid="{00000000-0004-0000-0400-000006000000}"/>
    <hyperlink ref="B13" location="'1.2 Traffic forecasts'!B107" display="1.2.2 - Terminal" xr:uid="{00000000-0004-0000-0400-000007000000}"/>
    <hyperlink ref="B15" location="'1.3 Stakeholder consultation'!B2" display="1.3 - Stakeholder consultation" xr:uid="{00000000-0004-0000-0400-000008000000}"/>
    <hyperlink ref="B16" location="'1.3 Stakeholder consultation'!B4" display="1.3.1 - Overall outcome of the consultation of stakeholders on the performance plan" xr:uid="{00000000-0004-0000-0400-000009000000}"/>
    <hyperlink ref="B17" location="'1.3 Stakeholder consultation'!B9" display="1.3.2 - Specific consultation requirements of ANSPs and airspace users on the performance plan" xr:uid="{00000000-0004-0000-0400-00000A000000}"/>
    <hyperlink ref="B18" location="'1.3 Stakeholder consultation'!B22" display="1.3.3 - Consultation of stakeholder groups on the performance plan" xr:uid="{00000000-0004-0000-0400-00000B000000}"/>
    <hyperlink ref="B20" location="'1.4 List of airports'!B2" display="1.4 - List of airports subject to the performance and charging Regulation" xr:uid="{00000000-0004-0000-0400-00000C000000}"/>
    <hyperlink ref="B21" location="'1.4 List of airports'!B4" display="1.4.1 - Airports as per Article 1(3) (IFR movements ≥ 80,000)" xr:uid="{00000000-0004-0000-0400-00000D000000}"/>
    <hyperlink ref="B22" location="'1.4 List of airports'!B29" display="1.4.2  Other airports added on a voluntary basis as per Article 1(4)" xr:uid="{00000000-0004-0000-0400-00000E000000}"/>
    <hyperlink ref="B24" location="'1.5 Market conditions'!B2" display="1.5 - Services Under Market Conditions" xr:uid="{00000000-0004-0000-0400-00000F000000}"/>
    <hyperlink ref="B26" location="'1.6 FAB process'!B2" display="1.6 - Process followed to develop and adopt a FAB Performance Plan" xr:uid="{00000000-0004-0000-0400-000010000000}"/>
    <hyperlink ref="B28" location="'1.7 Simplified scheme'!B2" display="1.7 - Establishment and application of a simplified charging scheme" xr:uid="{00000000-0004-0000-0400-000011000000}"/>
    <hyperlink ref="B29" location="'1.7 Simplified scheme'!B6" display="1.7.1 - Scope of the simplified charging scheme" xr:uid="{00000000-0004-0000-0400-000012000000}"/>
    <hyperlink ref="B30" location="'1.7 Simplified scheme'!B25" display="1.7.2 - Conditions for the application of the simplified charging scheme" xr:uid="{00000000-0004-0000-0400-000013000000}"/>
  </hyperlinks>
  <pageMargins left="0.70866141732283472" right="0.70866141732283472" top="0.74803149606299213" bottom="0.74803149606299213" header="0.31496062992125984" footer="0.31496062992125984"/>
  <pageSetup scale="80" fitToHeight="0" orientation="portrait" r:id="rId1"/>
  <headerFooter>
    <oddFooter>&amp;C&amp;P</oddFooter>
  </headerFooter>
  <picture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2">
    <tabColor theme="2" tint="-0.249977111117893"/>
    <pageSetUpPr fitToPage="1"/>
  </sheetPr>
  <dimension ref="A1:M290"/>
  <sheetViews>
    <sheetView showGridLines="0" zoomScaleNormal="100" workbookViewId="0">
      <selection activeCell="C280" sqref="C280"/>
    </sheetView>
  </sheetViews>
  <sheetFormatPr defaultColWidth="9.140625" defaultRowHeight="15"/>
  <cols>
    <col min="1" max="1" width="9.140625" style="3"/>
    <col min="2" max="2" width="13.5703125" style="3" bestFit="1" customWidth="1"/>
    <col min="3" max="3" width="45.140625" style="3" customWidth="1"/>
    <col min="4" max="9" width="11.7109375" style="3" customWidth="1"/>
    <col min="10" max="10" width="1.7109375" style="3" customWidth="1"/>
    <col min="11" max="16384" width="9.140625" style="3"/>
  </cols>
  <sheetData>
    <row r="1" spans="1:10">
      <c r="A1" s="103"/>
    </row>
    <row r="2" spans="1:10" ht="15.75" customHeight="1" thickBot="1">
      <c r="A2" s="103"/>
      <c r="B2" s="32" t="s">
        <v>1136</v>
      </c>
      <c r="C2" s="32"/>
      <c r="D2" s="32"/>
      <c r="E2" s="32"/>
      <c r="F2" s="32"/>
      <c r="G2" s="32"/>
      <c r="H2" s="32"/>
      <c r="I2" s="32"/>
    </row>
    <row r="3" spans="1:10" ht="15.75" customHeight="1">
      <c r="A3" s="103"/>
      <c r="B3" s="192"/>
      <c r="C3" s="192"/>
      <c r="D3" s="192"/>
      <c r="E3" s="192"/>
      <c r="F3" s="192"/>
      <c r="G3" s="192"/>
      <c r="H3" s="192"/>
      <c r="I3" s="192"/>
    </row>
    <row r="4" spans="1:10" ht="15.75" customHeight="1">
      <c r="A4" s="103"/>
      <c r="B4" s="50" t="s">
        <v>1137</v>
      </c>
      <c r="C4" s="274"/>
      <c r="D4" s="32"/>
      <c r="E4" s="32"/>
      <c r="F4" s="32"/>
      <c r="G4" s="32"/>
      <c r="H4" s="32"/>
      <c r="I4" s="32"/>
    </row>
    <row r="5" spans="1:10" ht="15.75" customHeight="1">
      <c r="A5" s="103"/>
      <c r="B5" s="32"/>
      <c r="C5" s="32"/>
      <c r="D5" s="32"/>
      <c r="E5" s="32"/>
      <c r="F5" s="32"/>
      <c r="G5" s="32"/>
      <c r="H5" s="32"/>
      <c r="I5" s="32"/>
    </row>
    <row r="6" spans="1:10" ht="15.75" customHeight="1">
      <c r="A6" s="271"/>
      <c r="B6" s="1014" t="s">
        <v>1138</v>
      </c>
      <c r="C6" s="1015"/>
      <c r="D6" s="1015"/>
      <c r="E6" s="1015"/>
      <c r="F6" s="1015"/>
      <c r="G6" s="1015"/>
      <c r="H6" s="725" t="s">
        <v>1786</v>
      </c>
      <c r="I6" s="726"/>
      <c r="J6" s="163"/>
    </row>
    <row r="7" spans="1:10" ht="15.75" hidden="1" customHeight="1">
      <c r="A7" s="271"/>
      <c r="B7" s="1014" t="s">
        <v>1139</v>
      </c>
      <c r="C7" s="1015"/>
      <c r="D7" s="1015"/>
      <c r="E7" s="1015"/>
      <c r="F7" s="1015"/>
      <c r="G7" s="1015"/>
      <c r="H7" s="849" t="s">
        <v>396</v>
      </c>
      <c r="I7" s="850"/>
      <c r="J7" s="163"/>
    </row>
    <row r="8" spans="1:10" ht="15.75" hidden="1" customHeight="1">
      <c r="A8" s="103"/>
      <c r="B8" s="237"/>
      <c r="C8" s="287"/>
      <c r="D8" s="287"/>
      <c r="E8" s="287"/>
      <c r="F8" s="287"/>
      <c r="G8" s="287"/>
      <c r="H8" s="287"/>
      <c r="I8" s="287"/>
    </row>
    <row r="9" spans="1:10" ht="30" hidden="1" customHeight="1">
      <c r="A9" s="271"/>
      <c r="B9" s="1019" t="s">
        <v>1140</v>
      </c>
      <c r="C9" s="1020"/>
      <c r="D9" s="1020"/>
      <c r="E9" s="1020"/>
      <c r="F9" s="1020"/>
      <c r="G9" s="1020"/>
      <c r="H9" s="1020"/>
      <c r="I9" s="1021"/>
    </row>
    <row r="10" spans="1:10" ht="9.75" hidden="1" customHeight="1">
      <c r="A10" s="103"/>
      <c r="B10" s="288"/>
      <c r="C10" s="288"/>
      <c r="D10" s="288"/>
      <c r="E10" s="288"/>
      <c r="F10" s="288"/>
      <c r="G10" s="288"/>
      <c r="H10" s="288"/>
      <c r="I10" s="288"/>
    </row>
    <row r="11" spans="1:10" ht="15.75" hidden="1" customHeight="1">
      <c r="A11" s="271"/>
      <c r="B11" s="645" t="s">
        <v>1141</v>
      </c>
      <c r="C11" s="998"/>
      <c r="D11" s="198" t="s">
        <v>1077</v>
      </c>
      <c r="E11" s="198" t="s">
        <v>1078</v>
      </c>
      <c r="F11" s="198" t="s">
        <v>1660</v>
      </c>
      <c r="G11" s="198" t="s">
        <v>1079</v>
      </c>
      <c r="H11" s="198" t="s">
        <v>1080</v>
      </c>
      <c r="I11" s="198" t="s">
        <v>1081</v>
      </c>
      <c r="J11" s="163"/>
    </row>
    <row r="12" spans="1:10" ht="15.75" hidden="1" customHeight="1">
      <c r="A12" s="271"/>
      <c r="B12" s="1030" t="s">
        <v>240</v>
      </c>
      <c r="C12" s="1031"/>
      <c r="D12" s="277"/>
      <c r="E12" s="278"/>
      <c r="F12" s="454">
        <f t="shared" ref="F12:F21" si="0">+E12+D12</f>
        <v>0</v>
      </c>
      <c r="G12" s="278"/>
      <c r="H12" s="278"/>
      <c r="I12" s="278"/>
      <c r="J12" s="163"/>
    </row>
    <row r="13" spans="1:10" ht="15.75" hidden="1" customHeight="1">
      <c r="A13" s="271"/>
      <c r="B13" s="1030" t="s">
        <v>240</v>
      </c>
      <c r="C13" s="1031"/>
      <c r="D13" s="277"/>
      <c r="E13" s="278"/>
      <c r="F13" s="454">
        <f t="shared" si="0"/>
        <v>0</v>
      </c>
      <c r="G13" s="278"/>
      <c r="H13" s="278"/>
      <c r="I13" s="278"/>
      <c r="J13" s="163"/>
    </row>
    <row r="14" spans="1:10" ht="15.75" hidden="1" customHeight="1">
      <c r="A14" s="271"/>
      <c r="B14" s="1030" t="s">
        <v>240</v>
      </c>
      <c r="C14" s="1031"/>
      <c r="D14" s="277"/>
      <c r="E14" s="278"/>
      <c r="F14" s="454">
        <f t="shared" si="0"/>
        <v>0</v>
      </c>
      <c r="G14" s="278"/>
      <c r="H14" s="278"/>
      <c r="I14" s="278"/>
      <c r="J14" s="163"/>
    </row>
    <row r="15" spans="1:10" ht="15.75" hidden="1" customHeight="1">
      <c r="A15" s="271"/>
      <c r="B15" s="1030" t="s">
        <v>240</v>
      </c>
      <c r="C15" s="1031"/>
      <c r="D15" s="277"/>
      <c r="E15" s="278"/>
      <c r="F15" s="454">
        <f t="shared" si="0"/>
        <v>0</v>
      </c>
      <c r="G15" s="278"/>
      <c r="H15" s="278"/>
      <c r="I15" s="278"/>
      <c r="J15" s="163"/>
    </row>
    <row r="16" spans="1:10" ht="15.75" hidden="1" customHeight="1">
      <c r="A16" s="271"/>
      <c r="B16" s="1030" t="s">
        <v>240</v>
      </c>
      <c r="C16" s="1031"/>
      <c r="D16" s="277"/>
      <c r="E16" s="278"/>
      <c r="F16" s="454">
        <f t="shared" si="0"/>
        <v>0</v>
      </c>
      <c r="G16" s="278"/>
      <c r="H16" s="278"/>
      <c r="I16" s="278"/>
      <c r="J16" s="163"/>
    </row>
    <row r="17" spans="1:10" ht="15.75" hidden="1" customHeight="1">
      <c r="A17" s="271"/>
      <c r="B17" s="1030" t="s">
        <v>240</v>
      </c>
      <c r="C17" s="1031"/>
      <c r="D17" s="277"/>
      <c r="E17" s="278"/>
      <c r="F17" s="454">
        <f t="shared" si="0"/>
        <v>0</v>
      </c>
      <c r="G17" s="278"/>
      <c r="H17" s="278"/>
      <c r="I17" s="278"/>
      <c r="J17" s="163"/>
    </row>
    <row r="18" spans="1:10" ht="15.75" hidden="1" customHeight="1">
      <c r="A18" s="271"/>
      <c r="B18" s="1030" t="s">
        <v>240</v>
      </c>
      <c r="C18" s="1031"/>
      <c r="D18" s="277"/>
      <c r="E18" s="278"/>
      <c r="F18" s="454">
        <f t="shared" si="0"/>
        <v>0</v>
      </c>
      <c r="G18" s="278"/>
      <c r="H18" s="278"/>
      <c r="I18" s="278"/>
      <c r="J18" s="163"/>
    </row>
    <row r="19" spans="1:10" ht="15.75" hidden="1" customHeight="1">
      <c r="A19" s="271"/>
      <c r="B19" s="1030" t="s">
        <v>240</v>
      </c>
      <c r="C19" s="1031"/>
      <c r="D19" s="277"/>
      <c r="E19" s="278"/>
      <c r="F19" s="454">
        <f t="shared" si="0"/>
        <v>0</v>
      </c>
      <c r="G19" s="278"/>
      <c r="H19" s="278"/>
      <c r="I19" s="278"/>
      <c r="J19" s="163"/>
    </row>
    <row r="20" spans="1:10" ht="15.75" hidden="1" customHeight="1">
      <c r="A20" s="271"/>
      <c r="B20" s="1030" t="s">
        <v>240</v>
      </c>
      <c r="C20" s="1031"/>
      <c r="D20" s="277"/>
      <c r="E20" s="278"/>
      <c r="F20" s="454">
        <f t="shared" si="0"/>
        <v>0</v>
      </c>
      <c r="G20" s="278"/>
      <c r="H20" s="278"/>
      <c r="I20" s="278"/>
      <c r="J20" s="163"/>
    </row>
    <row r="21" spans="1:10" ht="15.75" hidden="1" customHeight="1">
      <c r="A21" s="271"/>
      <c r="B21" s="1030" t="s">
        <v>240</v>
      </c>
      <c r="C21" s="1031"/>
      <c r="D21" s="277"/>
      <c r="E21" s="278"/>
      <c r="F21" s="454">
        <f t="shared" si="0"/>
        <v>0</v>
      </c>
      <c r="G21" s="278"/>
      <c r="H21" s="278"/>
      <c r="I21" s="278"/>
      <c r="J21" s="163"/>
    </row>
    <row r="22" spans="1:10" s="119" customFormat="1" ht="15.75" hidden="1" customHeight="1">
      <c r="A22" s="103"/>
      <c r="B22" s="276"/>
      <c r="C22" s="276"/>
      <c r="D22" s="276"/>
      <c r="E22" s="276"/>
      <c r="F22" s="276"/>
      <c r="G22" s="276"/>
      <c r="H22" s="276"/>
      <c r="I22" s="276"/>
    </row>
    <row r="23" spans="1:10" s="119" customFormat="1" ht="15.75" hidden="1" customHeight="1">
      <c r="A23" s="271"/>
      <c r="B23" s="654" t="s">
        <v>23</v>
      </c>
      <c r="C23" s="655"/>
      <c r="D23" s="655"/>
      <c r="E23" s="655"/>
      <c r="F23" s="655"/>
      <c r="G23" s="655"/>
      <c r="H23" s="655"/>
      <c r="I23" s="655"/>
      <c r="J23" s="275"/>
    </row>
    <row r="24" spans="1:10" s="119" customFormat="1" ht="60" hidden="1" customHeight="1">
      <c r="A24" s="271"/>
      <c r="B24" s="999"/>
      <c r="C24" s="657"/>
      <c r="D24" s="657"/>
      <c r="E24" s="657"/>
      <c r="F24" s="657"/>
      <c r="G24" s="657"/>
      <c r="H24" s="657"/>
      <c r="I24" s="657"/>
      <c r="J24" s="275"/>
    </row>
    <row r="25" spans="1:10" ht="15.75" customHeight="1">
      <c r="A25" s="103"/>
      <c r="B25" s="281"/>
      <c r="C25" s="281"/>
      <c r="D25" s="276"/>
      <c r="E25" s="276"/>
      <c r="F25" s="276"/>
      <c r="G25" s="276"/>
      <c r="H25" s="276"/>
      <c r="I25" s="276"/>
    </row>
    <row r="26" spans="1:10" ht="15.75" customHeight="1">
      <c r="A26" s="103"/>
      <c r="B26" s="50" t="s">
        <v>1142</v>
      </c>
      <c r="C26" s="274"/>
      <c r="D26" s="32"/>
      <c r="E26" s="32"/>
      <c r="F26" s="32"/>
      <c r="G26" s="32"/>
      <c r="H26" s="32"/>
      <c r="I26" s="32"/>
    </row>
    <row r="27" spans="1:10" ht="15.75" customHeight="1">
      <c r="A27" s="103"/>
      <c r="B27" s="119"/>
      <c r="C27" s="119"/>
      <c r="D27" s="118"/>
      <c r="E27" s="118"/>
      <c r="F27" s="118"/>
      <c r="G27" s="118"/>
      <c r="H27" s="118"/>
      <c r="I27" s="118"/>
    </row>
    <row r="28" spans="1:10" ht="15.75" customHeight="1">
      <c r="A28" s="271"/>
      <c r="B28" s="1014" t="s">
        <v>1143</v>
      </c>
      <c r="C28" s="1015"/>
      <c r="D28" s="1015"/>
      <c r="E28" s="1015"/>
      <c r="F28" s="1015"/>
      <c r="G28" s="1015"/>
      <c r="H28" s="849" t="s">
        <v>1786</v>
      </c>
      <c r="I28" s="850"/>
      <c r="J28" s="163"/>
    </row>
    <row r="29" spans="1:10" ht="15.75" hidden="1" customHeight="1">
      <c r="A29" s="271"/>
      <c r="B29" s="1014" t="s">
        <v>1139</v>
      </c>
      <c r="C29" s="1015"/>
      <c r="D29" s="1015"/>
      <c r="E29" s="1015"/>
      <c r="F29" s="1015"/>
      <c r="G29" s="1015"/>
      <c r="H29" s="849">
        <v>1</v>
      </c>
      <c r="I29" s="850"/>
      <c r="J29" s="163"/>
    </row>
    <row r="30" spans="1:10" ht="15.75" hidden="1" customHeight="1">
      <c r="A30" s="103"/>
      <c r="B30" s="237"/>
      <c r="C30" s="287"/>
      <c r="D30" s="287"/>
      <c r="E30" s="287"/>
      <c r="F30" s="287"/>
      <c r="G30" s="287"/>
      <c r="H30" s="287"/>
      <c r="I30" s="287"/>
    </row>
    <row r="31" spans="1:10" ht="15.75" hidden="1" customHeight="1">
      <c r="A31" s="271"/>
      <c r="B31" s="1010" t="str">
        <f>'1.1 The situation'!B13</f>
        <v>DCAC Cyprus</v>
      </c>
      <c r="C31" s="1011"/>
      <c r="D31" s="272"/>
      <c r="E31" s="118"/>
      <c r="F31" s="118"/>
      <c r="G31" s="118"/>
      <c r="H31" s="118"/>
      <c r="I31" s="118"/>
    </row>
    <row r="32" spans="1:10" s="119" customFormat="1" ht="15.75" hidden="1" customHeight="1">
      <c r="A32" s="103"/>
      <c r="B32" s="276"/>
      <c r="C32" s="276"/>
      <c r="D32" s="118"/>
      <c r="E32" s="118"/>
      <c r="F32" s="118"/>
      <c r="G32" s="118"/>
      <c r="H32" s="118"/>
      <c r="I32" s="118"/>
    </row>
    <row r="33" spans="1:12" s="119" customFormat="1" ht="15.75" hidden="1" customHeight="1">
      <c r="A33" s="103"/>
      <c r="B33" s="76" t="s">
        <v>1158</v>
      </c>
      <c r="C33" s="76"/>
      <c r="D33" s="76"/>
      <c r="E33" s="76"/>
      <c r="F33" s="76"/>
      <c r="G33" s="76"/>
      <c r="H33" s="76"/>
      <c r="I33" s="76"/>
    </row>
    <row r="34" spans="1:12" s="119" customFormat="1" ht="6.95" hidden="1" customHeight="1">
      <c r="A34" s="103"/>
      <c r="B34" s="118"/>
      <c r="C34" s="118"/>
      <c r="D34" s="118"/>
      <c r="E34" s="118"/>
      <c r="F34" s="118"/>
      <c r="G34" s="118"/>
      <c r="H34" s="118"/>
      <c r="I34" s="118"/>
    </row>
    <row r="35" spans="1:12" s="119" customFormat="1" ht="95.25" hidden="1" customHeight="1">
      <c r="A35" s="271"/>
      <c r="B35" s="1032" t="s">
        <v>1791</v>
      </c>
      <c r="C35" s="1033"/>
      <c r="D35" s="1033"/>
      <c r="E35" s="1033"/>
      <c r="F35" s="1033"/>
      <c r="G35" s="1033"/>
      <c r="H35" s="1033"/>
      <c r="I35" s="1034"/>
      <c r="J35" s="275"/>
    </row>
    <row r="36" spans="1:12" s="119" customFormat="1" ht="15.75" hidden="1" customHeight="1">
      <c r="A36" s="103"/>
      <c r="B36" s="118"/>
      <c r="C36" s="118"/>
      <c r="D36" s="118"/>
      <c r="E36" s="118"/>
      <c r="F36" s="118"/>
      <c r="G36" s="118"/>
      <c r="H36" s="118"/>
      <c r="I36" s="118"/>
    </row>
    <row r="37" spans="1:12" s="119" customFormat="1" ht="15.75" hidden="1" customHeight="1">
      <c r="A37" s="103"/>
      <c r="B37" s="1035" t="s">
        <v>1654</v>
      </c>
      <c r="C37" s="1035"/>
      <c r="D37" s="1035"/>
      <c r="E37" s="1035"/>
      <c r="F37" s="1035"/>
      <c r="G37" s="1035"/>
      <c r="H37" s="1035"/>
      <c r="I37" s="1035"/>
    </row>
    <row r="38" spans="1:12" s="119" customFormat="1" ht="12" hidden="1" customHeight="1">
      <c r="A38" s="103"/>
      <c r="B38" s="1035"/>
      <c r="C38" s="1035"/>
      <c r="D38" s="1035"/>
      <c r="E38" s="1035"/>
      <c r="F38" s="1035"/>
      <c r="G38" s="1035"/>
      <c r="H38" s="1035"/>
      <c r="I38" s="1035"/>
    </row>
    <row r="39" spans="1:12" s="119" customFormat="1" ht="6.95" hidden="1" customHeight="1">
      <c r="A39" s="103"/>
      <c r="B39" s="118"/>
      <c r="C39" s="118"/>
      <c r="D39" s="118"/>
      <c r="E39" s="118"/>
      <c r="F39" s="118"/>
      <c r="G39" s="118"/>
      <c r="H39" s="118"/>
      <c r="I39" s="118"/>
    </row>
    <row r="40" spans="1:12" s="119" customFormat="1" ht="60" hidden="1" customHeight="1">
      <c r="A40" s="271"/>
      <c r="B40" s="999"/>
      <c r="C40" s="657"/>
      <c r="D40" s="657"/>
      <c r="E40" s="657"/>
      <c r="F40" s="657"/>
      <c r="G40" s="657"/>
      <c r="H40" s="657"/>
      <c r="I40" s="657"/>
      <c r="J40" s="275"/>
    </row>
    <row r="41" spans="1:12" s="119" customFormat="1" ht="15.75" hidden="1" customHeight="1">
      <c r="A41" s="103"/>
      <c r="B41" s="281"/>
      <c r="C41" s="281"/>
      <c r="D41" s="276"/>
      <c r="E41" s="276"/>
      <c r="F41" s="276"/>
      <c r="G41" s="276"/>
      <c r="H41" s="276"/>
      <c r="I41" s="276"/>
    </row>
    <row r="42" spans="1:12" s="119" customFormat="1" ht="15.75" hidden="1" customHeight="1">
      <c r="A42" s="103"/>
      <c r="B42" s="76" t="s">
        <v>1658</v>
      </c>
      <c r="D42" s="118"/>
      <c r="E42" s="118"/>
      <c r="F42" s="118"/>
      <c r="G42" s="118"/>
      <c r="H42" s="118"/>
      <c r="I42" s="118"/>
    </row>
    <row r="43" spans="1:12" s="119" customFormat="1" ht="15.75" hidden="1" customHeight="1">
      <c r="A43" s="103"/>
      <c r="B43" s="271"/>
      <c r="C43" s="271"/>
      <c r="D43" s="271"/>
      <c r="E43" s="271"/>
      <c r="F43" s="271"/>
      <c r="G43" s="271"/>
      <c r="H43" s="118"/>
      <c r="I43" s="118"/>
    </row>
    <row r="44" spans="1:12" s="119" customFormat="1" ht="15.75" hidden="1" customHeight="1">
      <c r="A44" s="271"/>
      <c r="B44" s="1014" t="s">
        <v>1144</v>
      </c>
      <c r="C44" s="1015"/>
      <c r="D44" s="1015"/>
      <c r="E44" s="1015"/>
      <c r="F44" s="1015"/>
      <c r="G44" s="1015"/>
      <c r="H44" s="849" t="s">
        <v>396</v>
      </c>
      <c r="I44" s="850"/>
      <c r="J44" s="289"/>
      <c r="K44" s="103"/>
      <c r="L44" s="103"/>
    </row>
    <row r="45" spans="1:12" s="119" customFormat="1" ht="15.75" hidden="1" customHeight="1">
      <c r="A45" s="103"/>
      <c r="B45" s="276"/>
      <c r="C45" s="276"/>
      <c r="D45" s="276"/>
      <c r="E45" s="276"/>
      <c r="F45" s="276"/>
      <c r="G45" s="276"/>
      <c r="H45" s="276"/>
      <c r="I45" s="276"/>
      <c r="J45" s="103"/>
      <c r="K45" s="103"/>
      <c r="L45" s="103"/>
    </row>
    <row r="46" spans="1:12" s="119" customFormat="1" ht="15.75" hidden="1" customHeight="1">
      <c r="A46" s="271"/>
      <c r="B46" s="1003" t="s">
        <v>1145</v>
      </c>
      <c r="C46" s="1004"/>
      <c r="D46" s="198" t="s">
        <v>1077</v>
      </c>
      <c r="E46" s="198" t="s">
        <v>1078</v>
      </c>
      <c r="F46" s="198" t="s">
        <v>1660</v>
      </c>
      <c r="G46" s="198" t="s">
        <v>1079</v>
      </c>
      <c r="H46" s="198" t="s">
        <v>1080</v>
      </c>
      <c r="I46" s="198" t="s">
        <v>1081</v>
      </c>
      <c r="J46" s="289"/>
      <c r="K46" s="103"/>
      <c r="L46" s="103"/>
    </row>
    <row r="47" spans="1:12" s="119" customFormat="1" ht="30" hidden="1" customHeight="1">
      <c r="A47" s="271"/>
      <c r="B47" s="654" t="s">
        <v>1648</v>
      </c>
      <c r="C47" s="655"/>
      <c r="D47" s="277"/>
      <c r="E47" s="278"/>
      <c r="F47" s="454">
        <f>+E47+D47</f>
        <v>0</v>
      </c>
      <c r="G47" s="278"/>
      <c r="H47" s="278"/>
      <c r="I47" s="278"/>
      <c r="J47" s="289"/>
      <c r="K47" s="103"/>
      <c r="L47" s="103"/>
    </row>
    <row r="48" spans="1:12" s="119" customFormat="1" ht="15.75" hidden="1" customHeight="1">
      <c r="A48" s="271"/>
      <c r="B48" s="645" t="s">
        <v>1146</v>
      </c>
      <c r="C48" s="998"/>
      <c r="D48" s="998"/>
      <c r="E48" s="998"/>
      <c r="F48" s="998"/>
      <c r="G48" s="998"/>
      <c r="H48" s="998"/>
      <c r="I48" s="998"/>
      <c r="J48" s="289"/>
      <c r="K48" s="103"/>
      <c r="L48" s="103"/>
    </row>
    <row r="49" spans="1:13" s="119" customFormat="1" ht="15.75" hidden="1" customHeight="1">
      <c r="A49" s="271"/>
      <c r="B49" s="1028"/>
      <c r="C49" s="1029"/>
      <c r="D49" s="1029"/>
      <c r="E49" s="1029"/>
      <c r="F49" s="1029"/>
      <c r="G49" s="1029"/>
      <c r="H49" s="1029"/>
      <c r="I49" s="1029"/>
      <c r="J49" s="289"/>
      <c r="K49" s="103"/>
      <c r="L49" s="103"/>
    </row>
    <row r="50" spans="1:13" s="119" customFormat="1" ht="15.75" hidden="1" customHeight="1">
      <c r="A50" s="271"/>
      <c r="B50" s="996" t="s">
        <v>1147</v>
      </c>
      <c r="C50" s="1007"/>
      <c r="D50" s="1007"/>
      <c r="E50" s="1007"/>
      <c r="F50" s="1007"/>
      <c r="G50" s="1007"/>
      <c r="H50" s="1007"/>
      <c r="I50" s="997"/>
      <c r="J50" s="271"/>
      <c r="K50" s="103"/>
      <c r="L50" s="103"/>
    </row>
    <row r="51" spans="1:13" s="119" customFormat="1" ht="15.75" hidden="1" customHeight="1">
      <c r="A51" s="271"/>
      <c r="B51" s="1025"/>
      <c r="C51" s="1026"/>
      <c r="D51" s="1026"/>
      <c r="E51" s="1026"/>
      <c r="F51" s="1026"/>
      <c r="G51" s="1026"/>
      <c r="H51" s="1026"/>
      <c r="I51" s="1027"/>
      <c r="J51" s="271"/>
      <c r="K51" s="103"/>
      <c r="L51" s="103"/>
    </row>
    <row r="52" spans="1:13" s="119" customFormat="1" ht="15.75" hidden="1" customHeight="1">
      <c r="A52" s="271"/>
      <c r="B52" s="996" t="s">
        <v>1655</v>
      </c>
      <c r="C52" s="1007"/>
      <c r="D52" s="1007"/>
      <c r="E52" s="1007"/>
      <c r="F52" s="1007"/>
      <c r="G52" s="1007"/>
      <c r="H52" s="1007"/>
      <c r="I52" s="997"/>
      <c r="J52" s="271"/>
      <c r="K52" s="103"/>
      <c r="L52" s="103"/>
    </row>
    <row r="53" spans="1:13" s="119" customFormat="1" ht="15.75" hidden="1" customHeight="1">
      <c r="A53" s="271"/>
      <c r="B53" s="1025"/>
      <c r="C53" s="1026"/>
      <c r="D53" s="1026"/>
      <c r="E53" s="1026"/>
      <c r="F53" s="1026"/>
      <c r="G53" s="1026"/>
      <c r="H53" s="1026"/>
      <c r="I53" s="1027"/>
      <c r="J53" s="271"/>
      <c r="K53" s="103"/>
      <c r="L53" s="103"/>
    </row>
    <row r="54" spans="1:13" s="119" customFormat="1" ht="15.75" hidden="1" customHeight="1">
      <c r="A54" s="271"/>
      <c r="B54" s="996" t="s">
        <v>1656</v>
      </c>
      <c r="C54" s="1007"/>
      <c r="D54" s="1007"/>
      <c r="E54" s="1007"/>
      <c r="F54" s="1007"/>
      <c r="G54" s="1007"/>
      <c r="H54" s="1007"/>
      <c r="I54" s="997"/>
      <c r="J54" s="271"/>
      <c r="K54" s="103"/>
      <c r="L54" s="103"/>
    </row>
    <row r="55" spans="1:13" s="119" customFormat="1" ht="15.75" hidden="1" customHeight="1">
      <c r="A55" s="271"/>
      <c r="B55" s="1025"/>
      <c r="C55" s="1026"/>
      <c r="D55" s="1026"/>
      <c r="E55" s="1026"/>
      <c r="F55" s="1026"/>
      <c r="G55" s="1026"/>
      <c r="H55" s="1026"/>
      <c r="I55" s="1027"/>
      <c r="J55" s="271"/>
      <c r="K55" s="103"/>
      <c r="L55" s="103"/>
    </row>
    <row r="56" spans="1:13" s="119" customFormat="1" ht="15.75" hidden="1" customHeight="1">
      <c r="A56" s="271"/>
      <c r="B56" s="996" t="s">
        <v>1657</v>
      </c>
      <c r="C56" s="1007"/>
      <c r="D56" s="1007"/>
      <c r="E56" s="1007"/>
      <c r="F56" s="1007"/>
      <c r="G56" s="1007"/>
      <c r="H56" s="1007"/>
      <c r="I56" s="997"/>
      <c r="J56" s="271"/>
      <c r="K56" s="103"/>
      <c r="L56" s="103"/>
    </row>
    <row r="57" spans="1:13" s="119" customFormat="1" ht="15.75" hidden="1" customHeight="1">
      <c r="A57" s="271"/>
      <c r="B57" s="1025"/>
      <c r="C57" s="1026"/>
      <c r="D57" s="1026"/>
      <c r="E57" s="1026"/>
      <c r="F57" s="1026"/>
      <c r="G57" s="1026"/>
      <c r="H57" s="1026"/>
      <c r="I57" s="1027"/>
      <c r="J57" s="271"/>
      <c r="K57" s="103"/>
      <c r="L57" s="103"/>
    </row>
    <row r="58" spans="1:13" s="119" customFormat="1" ht="15.75" hidden="1" customHeight="1">
      <c r="A58" s="103"/>
      <c r="B58" s="103"/>
      <c r="C58" s="103"/>
      <c r="D58" s="103"/>
      <c r="E58" s="103"/>
      <c r="F58" s="103"/>
      <c r="G58" s="103"/>
      <c r="H58" s="103"/>
      <c r="I58" s="103"/>
      <c r="J58" s="103"/>
      <c r="K58" s="103"/>
      <c r="L58" s="103"/>
      <c r="M58" s="103"/>
    </row>
    <row r="59" spans="1:13" s="119" customFormat="1" ht="15.75" hidden="1" customHeight="1">
      <c r="A59" s="271"/>
      <c r="B59" s="1003" t="s">
        <v>1148</v>
      </c>
      <c r="C59" s="1004"/>
      <c r="D59" s="198" t="s">
        <v>1077</v>
      </c>
      <c r="E59" s="198" t="s">
        <v>1078</v>
      </c>
      <c r="F59" s="198" t="s">
        <v>1660</v>
      </c>
      <c r="G59" s="198" t="s">
        <v>1079</v>
      </c>
      <c r="H59" s="198" t="s">
        <v>1080</v>
      </c>
      <c r="I59" s="198" t="s">
        <v>1081</v>
      </c>
      <c r="J59" s="289"/>
      <c r="K59" s="103"/>
      <c r="L59" s="103"/>
    </row>
    <row r="60" spans="1:13" s="119" customFormat="1" ht="30" hidden="1" customHeight="1">
      <c r="A60" s="271"/>
      <c r="B60" s="654" t="s">
        <v>1648</v>
      </c>
      <c r="C60" s="655"/>
      <c r="D60" s="277"/>
      <c r="E60" s="278"/>
      <c r="F60" s="454">
        <f>+E60+D60</f>
        <v>0</v>
      </c>
      <c r="G60" s="278"/>
      <c r="H60" s="278"/>
      <c r="I60" s="278"/>
      <c r="J60" s="289"/>
      <c r="K60" s="103"/>
      <c r="L60" s="103"/>
    </row>
    <row r="61" spans="1:13" s="119" customFormat="1" ht="15.75" hidden="1" customHeight="1">
      <c r="A61" s="271"/>
      <c r="B61" s="645" t="s">
        <v>1146</v>
      </c>
      <c r="C61" s="998"/>
      <c r="D61" s="998"/>
      <c r="E61" s="998"/>
      <c r="F61" s="998"/>
      <c r="G61" s="998"/>
      <c r="H61" s="998"/>
      <c r="I61" s="998"/>
      <c r="J61" s="289"/>
      <c r="K61" s="103"/>
      <c r="L61" s="103"/>
    </row>
    <row r="62" spans="1:13" s="119" customFormat="1" ht="15.75" hidden="1" customHeight="1">
      <c r="A62" s="271"/>
      <c r="B62" s="1028"/>
      <c r="C62" s="1029"/>
      <c r="D62" s="1029"/>
      <c r="E62" s="1029"/>
      <c r="F62" s="1029"/>
      <c r="G62" s="1029"/>
      <c r="H62" s="1029"/>
      <c r="I62" s="1029"/>
      <c r="J62" s="289"/>
      <c r="K62" s="103"/>
      <c r="L62" s="103"/>
    </row>
    <row r="63" spans="1:13" s="119" customFormat="1" ht="15.75" hidden="1" customHeight="1">
      <c r="A63" s="271"/>
      <c r="B63" s="645" t="s">
        <v>1147</v>
      </c>
      <c r="C63" s="998"/>
      <c r="D63" s="998"/>
      <c r="E63" s="998"/>
      <c r="F63" s="998"/>
      <c r="G63" s="998"/>
      <c r="H63" s="998"/>
      <c r="I63" s="998"/>
      <c r="J63" s="289"/>
      <c r="K63" s="103"/>
      <c r="L63" s="103"/>
    </row>
    <row r="64" spans="1:13" s="119" customFormat="1" ht="15.75" hidden="1" customHeight="1">
      <c r="A64" s="271"/>
      <c r="B64" s="1028"/>
      <c r="C64" s="1029"/>
      <c r="D64" s="1029"/>
      <c r="E64" s="1029"/>
      <c r="F64" s="1029"/>
      <c r="G64" s="1029"/>
      <c r="H64" s="1029"/>
      <c r="I64" s="1029"/>
      <c r="J64" s="289"/>
      <c r="K64" s="103"/>
      <c r="L64" s="103"/>
    </row>
    <row r="65" spans="1:12" s="119" customFormat="1" ht="15.75" hidden="1" customHeight="1">
      <c r="A65" s="271"/>
      <c r="B65" s="996" t="s">
        <v>1655</v>
      </c>
      <c r="C65" s="1007"/>
      <c r="D65" s="1007"/>
      <c r="E65" s="1007"/>
      <c r="F65" s="1007"/>
      <c r="G65" s="1007"/>
      <c r="H65" s="1007"/>
      <c r="I65" s="997"/>
      <c r="J65" s="271"/>
      <c r="K65" s="103"/>
      <c r="L65" s="103"/>
    </row>
    <row r="66" spans="1:12" s="119" customFormat="1" ht="15.75" hidden="1" customHeight="1">
      <c r="A66" s="271"/>
      <c r="B66" s="1025"/>
      <c r="C66" s="1026"/>
      <c r="D66" s="1026"/>
      <c r="E66" s="1026"/>
      <c r="F66" s="1026"/>
      <c r="G66" s="1026"/>
      <c r="H66" s="1026"/>
      <c r="I66" s="1027"/>
      <c r="J66" s="271"/>
      <c r="K66" s="103"/>
      <c r="L66" s="103"/>
    </row>
    <row r="67" spans="1:12" s="119" customFormat="1" ht="15.75" hidden="1" customHeight="1">
      <c r="A67" s="271"/>
      <c r="B67" s="996" t="s">
        <v>1656</v>
      </c>
      <c r="C67" s="1007"/>
      <c r="D67" s="1007"/>
      <c r="E67" s="1007"/>
      <c r="F67" s="1007"/>
      <c r="G67" s="1007"/>
      <c r="H67" s="1007"/>
      <c r="I67" s="997"/>
      <c r="J67" s="271"/>
      <c r="K67" s="103"/>
      <c r="L67" s="103"/>
    </row>
    <row r="68" spans="1:12" s="119" customFormat="1" ht="15.75" hidden="1" customHeight="1">
      <c r="A68" s="271"/>
      <c r="B68" s="1025"/>
      <c r="C68" s="1026"/>
      <c r="D68" s="1026"/>
      <c r="E68" s="1026"/>
      <c r="F68" s="1026"/>
      <c r="G68" s="1026"/>
      <c r="H68" s="1026"/>
      <c r="I68" s="1027"/>
      <c r="J68" s="271"/>
      <c r="K68" s="103"/>
      <c r="L68" s="103"/>
    </row>
    <row r="69" spans="1:12" s="119" customFormat="1" ht="15.75" hidden="1" customHeight="1">
      <c r="A69" s="271"/>
      <c r="B69" s="996" t="s">
        <v>1657</v>
      </c>
      <c r="C69" s="1007"/>
      <c r="D69" s="1007"/>
      <c r="E69" s="1007"/>
      <c r="F69" s="1007"/>
      <c r="G69" s="1007"/>
      <c r="H69" s="1007"/>
      <c r="I69" s="997"/>
      <c r="J69" s="271"/>
      <c r="K69" s="103"/>
      <c r="L69" s="103"/>
    </row>
    <row r="70" spans="1:12" s="119" customFormat="1" ht="15.75" hidden="1" customHeight="1">
      <c r="A70" s="271"/>
      <c r="B70" s="1025"/>
      <c r="C70" s="1026"/>
      <c r="D70" s="1026"/>
      <c r="E70" s="1026"/>
      <c r="F70" s="1026"/>
      <c r="G70" s="1026"/>
      <c r="H70" s="1026"/>
      <c r="I70" s="1027"/>
      <c r="J70" s="271"/>
      <c r="K70" s="103"/>
      <c r="L70" s="103"/>
    </row>
    <row r="71" spans="1:12" s="119" customFormat="1" ht="15.75" hidden="1" customHeight="1">
      <c r="A71" s="103"/>
      <c r="B71" s="276"/>
      <c r="C71" s="276"/>
      <c r="D71" s="276"/>
      <c r="E71" s="276"/>
      <c r="F71" s="276"/>
      <c r="G71" s="276"/>
      <c r="H71" s="276"/>
      <c r="I71" s="276"/>
      <c r="J71" s="103"/>
      <c r="K71" s="103"/>
      <c r="L71" s="103"/>
    </row>
    <row r="72" spans="1:12" s="119" customFormat="1" ht="15.75" hidden="1" customHeight="1">
      <c r="A72" s="271"/>
      <c r="B72" s="1003" t="s">
        <v>1149</v>
      </c>
      <c r="C72" s="1004"/>
      <c r="D72" s="198" t="s">
        <v>1077</v>
      </c>
      <c r="E72" s="198" t="s">
        <v>1078</v>
      </c>
      <c r="F72" s="198" t="s">
        <v>1660</v>
      </c>
      <c r="G72" s="198" t="s">
        <v>1079</v>
      </c>
      <c r="H72" s="198" t="s">
        <v>1080</v>
      </c>
      <c r="I72" s="198" t="s">
        <v>1081</v>
      </c>
      <c r="J72" s="289"/>
      <c r="K72" s="103"/>
      <c r="L72" s="103"/>
    </row>
    <row r="73" spans="1:12" s="119" customFormat="1" ht="30" hidden="1" customHeight="1">
      <c r="A73" s="271"/>
      <c r="B73" s="654" t="s">
        <v>1648</v>
      </c>
      <c r="C73" s="655"/>
      <c r="D73" s="277"/>
      <c r="E73" s="278"/>
      <c r="F73" s="454">
        <f>+E73+D73</f>
        <v>0</v>
      </c>
      <c r="G73" s="278"/>
      <c r="H73" s="278"/>
      <c r="I73" s="278"/>
      <c r="J73" s="289"/>
      <c r="K73" s="103"/>
      <c r="L73" s="103"/>
    </row>
    <row r="74" spans="1:12" s="119" customFormat="1" ht="15.75" hidden="1" customHeight="1">
      <c r="A74" s="271"/>
      <c r="B74" s="645" t="s">
        <v>1146</v>
      </c>
      <c r="C74" s="998"/>
      <c r="D74" s="998"/>
      <c r="E74" s="998"/>
      <c r="F74" s="998"/>
      <c r="G74" s="998"/>
      <c r="H74" s="998"/>
      <c r="I74" s="998"/>
      <c r="J74" s="289"/>
      <c r="K74" s="103"/>
      <c r="L74" s="103"/>
    </row>
    <row r="75" spans="1:12" s="119" customFormat="1" ht="15.75" hidden="1" customHeight="1">
      <c r="A75" s="271"/>
      <c r="B75" s="1028"/>
      <c r="C75" s="1029"/>
      <c r="D75" s="1029"/>
      <c r="E75" s="1029"/>
      <c r="F75" s="1029"/>
      <c r="G75" s="1029"/>
      <c r="H75" s="1029"/>
      <c r="I75" s="1029"/>
      <c r="J75" s="289"/>
      <c r="K75" s="103"/>
      <c r="L75" s="103"/>
    </row>
    <row r="76" spans="1:12" s="119" customFormat="1" ht="15.75" hidden="1" customHeight="1">
      <c r="A76" s="271"/>
      <c r="B76" s="645" t="s">
        <v>1147</v>
      </c>
      <c r="C76" s="998"/>
      <c r="D76" s="998"/>
      <c r="E76" s="998"/>
      <c r="F76" s="998"/>
      <c r="G76" s="998"/>
      <c r="H76" s="998"/>
      <c r="I76" s="998"/>
      <c r="J76" s="289"/>
      <c r="K76" s="103"/>
      <c r="L76" s="103"/>
    </row>
    <row r="77" spans="1:12" s="119" customFormat="1" ht="15.75" hidden="1" customHeight="1">
      <c r="A77" s="271"/>
      <c r="B77" s="1028"/>
      <c r="C77" s="1029"/>
      <c r="D77" s="1029"/>
      <c r="E77" s="1029"/>
      <c r="F77" s="1029"/>
      <c r="G77" s="1029"/>
      <c r="H77" s="1029"/>
      <c r="I77" s="1029"/>
      <c r="J77" s="289"/>
      <c r="K77" s="103"/>
      <c r="L77" s="103"/>
    </row>
    <row r="78" spans="1:12" s="119" customFormat="1" ht="15.75" hidden="1" customHeight="1">
      <c r="A78" s="271"/>
      <c r="B78" s="996" t="s">
        <v>1655</v>
      </c>
      <c r="C78" s="1007"/>
      <c r="D78" s="1007"/>
      <c r="E78" s="1007"/>
      <c r="F78" s="1007"/>
      <c r="G78" s="1007"/>
      <c r="H78" s="1007"/>
      <c r="I78" s="997"/>
      <c r="J78" s="271"/>
      <c r="K78" s="103"/>
      <c r="L78" s="103"/>
    </row>
    <row r="79" spans="1:12" s="119" customFormat="1" ht="15.75" hidden="1" customHeight="1">
      <c r="A79" s="271"/>
      <c r="B79" s="1025"/>
      <c r="C79" s="1026"/>
      <c r="D79" s="1026"/>
      <c r="E79" s="1026"/>
      <c r="F79" s="1026"/>
      <c r="G79" s="1026"/>
      <c r="H79" s="1026"/>
      <c r="I79" s="1027"/>
      <c r="J79" s="271"/>
      <c r="K79" s="103"/>
      <c r="L79" s="103"/>
    </row>
    <row r="80" spans="1:12" s="119" customFormat="1" ht="15.75" hidden="1" customHeight="1">
      <c r="A80" s="271"/>
      <c r="B80" s="996" t="s">
        <v>1656</v>
      </c>
      <c r="C80" s="1007"/>
      <c r="D80" s="1007"/>
      <c r="E80" s="1007"/>
      <c r="F80" s="1007"/>
      <c r="G80" s="1007"/>
      <c r="H80" s="1007"/>
      <c r="I80" s="997"/>
      <c r="J80" s="271"/>
      <c r="K80" s="103"/>
      <c r="L80" s="103"/>
    </row>
    <row r="81" spans="1:12" s="119" customFormat="1" ht="15.75" hidden="1" customHeight="1">
      <c r="A81" s="271"/>
      <c r="B81" s="1025"/>
      <c r="C81" s="1026"/>
      <c r="D81" s="1026"/>
      <c r="E81" s="1026"/>
      <c r="F81" s="1026"/>
      <c r="G81" s="1026"/>
      <c r="H81" s="1026"/>
      <c r="I81" s="1027"/>
      <c r="J81" s="271"/>
      <c r="K81" s="103"/>
      <c r="L81" s="103"/>
    </row>
    <row r="82" spans="1:12" s="119" customFormat="1" ht="15.75" hidden="1" customHeight="1">
      <c r="A82" s="271"/>
      <c r="B82" s="996" t="s">
        <v>1657</v>
      </c>
      <c r="C82" s="1007"/>
      <c r="D82" s="1007"/>
      <c r="E82" s="1007"/>
      <c r="F82" s="1007"/>
      <c r="G82" s="1007"/>
      <c r="H82" s="1007"/>
      <c r="I82" s="997"/>
      <c r="J82" s="271"/>
      <c r="K82" s="103"/>
      <c r="L82" s="103"/>
    </row>
    <row r="83" spans="1:12" s="119" customFormat="1" ht="15.75" hidden="1" customHeight="1">
      <c r="A83" s="271"/>
      <c r="B83" s="1025"/>
      <c r="C83" s="1026"/>
      <c r="D83" s="1026"/>
      <c r="E83" s="1026"/>
      <c r="F83" s="1026"/>
      <c r="G83" s="1026"/>
      <c r="H83" s="1026"/>
      <c r="I83" s="1027"/>
      <c r="J83" s="271"/>
      <c r="K83" s="103"/>
      <c r="L83" s="103"/>
    </row>
    <row r="84" spans="1:12" s="119" customFormat="1" ht="15.75" hidden="1" customHeight="1">
      <c r="A84" s="103"/>
      <c r="B84" s="276"/>
      <c r="C84" s="276"/>
      <c r="D84" s="276"/>
      <c r="E84" s="276"/>
      <c r="F84" s="276"/>
      <c r="G84" s="276"/>
      <c r="H84" s="276"/>
      <c r="I84" s="276"/>
      <c r="J84" s="103"/>
      <c r="K84" s="103"/>
      <c r="L84" s="103"/>
    </row>
    <row r="85" spans="1:12" s="119" customFormat="1" ht="15.75" hidden="1" customHeight="1">
      <c r="A85" s="271"/>
      <c r="B85" s="1003" t="s">
        <v>1150</v>
      </c>
      <c r="C85" s="1004"/>
      <c r="D85" s="198" t="s">
        <v>1077</v>
      </c>
      <c r="E85" s="198" t="s">
        <v>1078</v>
      </c>
      <c r="F85" s="198" t="s">
        <v>1660</v>
      </c>
      <c r="G85" s="198" t="s">
        <v>1079</v>
      </c>
      <c r="H85" s="198" t="s">
        <v>1080</v>
      </c>
      <c r="I85" s="198" t="s">
        <v>1081</v>
      </c>
      <c r="J85" s="289"/>
      <c r="K85" s="103"/>
      <c r="L85" s="103"/>
    </row>
    <row r="86" spans="1:12" s="119" customFormat="1" ht="30" hidden="1" customHeight="1">
      <c r="A86" s="271"/>
      <c r="B86" s="654" t="s">
        <v>1648</v>
      </c>
      <c r="C86" s="655"/>
      <c r="D86" s="277"/>
      <c r="E86" s="278"/>
      <c r="F86" s="454">
        <f>+E86+D86</f>
        <v>0</v>
      </c>
      <c r="G86" s="278"/>
      <c r="H86" s="278"/>
      <c r="I86" s="278"/>
      <c r="J86" s="289"/>
      <c r="K86" s="103"/>
      <c r="L86" s="103"/>
    </row>
    <row r="87" spans="1:12" s="119" customFormat="1" ht="15.75" hidden="1" customHeight="1">
      <c r="A87" s="271"/>
      <c r="B87" s="645" t="s">
        <v>1146</v>
      </c>
      <c r="C87" s="998"/>
      <c r="D87" s="998"/>
      <c r="E87" s="998"/>
      <c r="F87" s="998"/>
      <c r="G87" s="998"/>
      <c r="H87" s="998"/>
      <c r="I87" s="998"/>
      <c r="J87" s="289"/>
      <c r="K87" s="103"/>
      <c r="L87" s="103"/>
    </row>
    <row r="88" spans="1:12" s="119" customFormat="1" ht="15.75" hidden="1" customHeight="1">
      <c r="A88" s="271"/>
      <c r="B88" s="1028"/>
      <c r="C88" s="1029"/>
      <c r="D88" s="1029"/>
      <c r="E88" s="1029"/>
      <c r="F88" s="1029"/>
      <c r="G88" s="1029"/>
      <c r="H88" s="1029"/>
      <c r="I88" s="1029"/>
      <c r="J88" s="289"/>
      <c r="K88" s="103"/>
      <c r="L88" s="103"/>
    </row>
    <row r="89" spans="1:12" s="119" customFormat="1" ht="15.75" hidden="1" customHeight="1">
      <c r="A89" s="271"/>
      <c r="B89" s="645" t="s">
        <v>1147</v>
      </c>
      <c r="C89" s="998"/>
      <c r="D89" s="998"/>
      <c r="E89" s="998"/>
      <c r="F89" s="998"/>
      <c r="G89" s="998"/>
      <c r="H89" s="998"/>
      <c r="I89" s="998"/>
      <c r="J89" s="289"/>
      <c r="K89" s="103"/>
      <c r="L89" s="103"/>
    </row>
    <row r="90" spans="1:12" s="119" customFormat="1" ht="15.75" hidden="1" customHeight="1">
      <c r="A90" s="271"/>
      <c r="B90" s="1028"/>
      <c r="C90" s="1029"/>
      <c r="D90" s="1029"/>
      <c r="E90" s="1029"/>
      <c r="F90" s="1029"/>
      <c r="G90" s="1029"/>
      <c r="H90" s="1029"/>
      <c r="I90" s="1029"/>
      <c r="J90" s="289"/>
      <c r="K90" s="103"/>
      <c r="L90" s="103"/>
    </row>
    <row r="91" spans="1:12" s="119" customFormat="1" ht="15.75" hidden="1" customHeight="1">
      <c r="A91" s="271"/>
      <c r="B91" s="996" t="s">
        <v>1655</v>
      </c>
      <c r="C91" s="1007"/>
      <c r="D91" s="1007"/>
      <c r="E91" s="1007"/>
      <c r="F91" s="1007"/>
      <c r="G91" s="1007"/>
      <c r="H91" s="1007"/>
      <c r="I91" s="997"/>
      <c r="J91" s="271"/>
      <c r="K91" s="103"/>
      <c r="L91" s="103"/>
    </row>
    <row r="92" spans="1:12" s="119" customFormat="1" ht="15.75" hidden="1" customHeight="1">
      <c r="A92" s="271"/>
      <c r="B92" s="1025"/>
      <c r="C92" s="1026"/>
      <c r="D92" s="1026"/>
      <c r="E92" s="1026"/>
      <c r="F92" s="1026"/>
      <c r="G92" s="1026"/>
      <c r="H92" s="1026"/>
      <c r="I92" s="1027"/>
      <c r="J92" s="271"/>
      <c r="K92" s="103"/>
      <c r="L92" s="103"/>
    </row>
    <row r="93" spans="1:12" s="119" customFormat="1" ht="15.75" hidden="1" customHeight="1">
      <c r="A93" s="271"/>
      <c r="B93" s="996" t="s">
        <v>1656</v>
      </c>
      <c r="C93" s="1007"/>
      <c r="D93" s="1007"/>
      <c r="E93" s="1007"/>
      <c r="F93" s="1007"/>
      <c r="G93" s="1007"/>
      <c r="H93" s="1007"/>
      <c r="I93" s="997"/>
      <c r="J93" s="271"/>
      <c r="K93" s="103"/>
      <c r="L93" s="103"/>
    </row>
    <row r="94" spans="1:12" s="119" customFormat="1" ht="15.75" hidden="1" customHeight="1">
      <c r="A94" s="271"/>
      <c r="B94" s="1025"/>
      <c r="C94" s="1026"/>
      <c r="D94" s="1026"/>
      <c r="E94" s="1026"/>
      <c r="F94" s="1026"/>
      <c r="G94" s="1026"/>
      <c r="H94" s="1026"/>
      <c r="I94" s="1027"/>
      <c r="J94" s="271"/>
      <c r="K94" s="103"/>
      <c r="L94" s="103"/>
    </row>
    <row r="95" spans="1:12" s="119" customFormat="1" ht="15.75" hidden="1" customHeight="1">
      <c r="A95" s="271"/>
      <c r="B95" s="996" t="s">
        <v>1657</v>
      </c>
      <c r="C95" s="1007"/>
      <c r="D95" s="1007"/>
      <c r="E95" s="1007"/>
      <c r="F95" s="1007"/>
      <c r="G95" s="1007"/>
      <c r="H95" s="1007"/>
      <c r="I95" s="997"/>
      <c r="J95" s="271"/>
      <c r="K95" s="103"/>
      <c r="L95" s="103"/>
    </row>
    <row r="96" spans="1:12" s="119" customFormat="1" ht="15.75" hidden="1" customHeight="1">
      <c r="A96" s="271"/>
      <c r="B96" s="1025"/>
      <c r="C96" s="1026"/>
      <c r="D96" s="1026"/>
      <c r="E96" s="1026"/>
      <c r="F96" s="1026"/>
      <c r="G96" s="1026"/>
      <c r="H96" s="1026"/>
      <c r="I96" s="1027"/>
      <c r="J96" s="271"/>
      <c r="K96" s="103"/>
      <c r="L96" s="103"/>
    </row>
    <row r="97" spans="1:12" s="119" customFormat="1" ht="15.75" hidden="1" customHeight="1">
      <c r="A97" s="103"/>
      <c r="B97" s="276"/>
      <c r="C97" s="276"/>
      <c r="D97" s="276"/>
      <c r="E97" s="276"/>
      <c r="F97" s="276"/>
      <c r="G97" s="276"/>
      <c r="H97" s="276"/>
      <c r="I97" s="276"/>
      <c r="J97" s="103"/>
      <c r="K97" s="103"/>
      <c r="L97" s="103"/>
    </row>
    <row r="98" spans="1:12" s="119" customFormat="1" ht="15.75" hidden="1" customHeight="1">
      <c r="A98" s="271"/>
      <c r="B98" s="1003" t="s">
        <v>1151</v>
      </c>
      <c r="C98" s="1004"/>
      <c r="D98" s="198" t="s">
        <v>1077</v>
      </c>
      <c r="E98" s="198" t="s">
        <v>1078</v>
      </c>
      <c r="F98" s="198" t="s">
        <v>1660</v>
      </c>
      <c r="G98" s="198" t="s">
        <v>1079</v>
      </c>
      <c r="H98" s="198" t="s">
        <v>1080</v>
      </c>
      <c r="I98" s="198" t="s">
        <v>1081</v>
      </c>
      <c r="J98" s="289"/>
      <c r="K98" s="103"/>
      <c r="L98" s="103"/>
    </row>
    <row r="99" spans="1:12" s="119" customFormat="1" ht="30" hidden="1" customHeight="1">
      <c r="A99" s="271"/>
      <c r="B99" s="654" t="s">
        <v>1648</v>
      </c>
      <c r="C99" s="655"/>
      <c r="D99" s="277"/>
      <c r="E99" s="278"/>
      <c r="F99" s="454">
        <f>+E99+D99</f>
        <v>0</v>
      </c>
      <c r="G99" s="278"/>
      <c r="H99" s="278"/>
      <c r="I99" s="278"/>
      <c r="J99" s="289"/>
      <c r="K99" s="103"/>
      <c r="L99" s="103"/>
    </row>
    <row r="100" spans="1:12" s="119" customFormat="1" ht="15.75" hidden="1" customHeight="1">
      <c r="A100" s="271"/>
      <c r="B100" s="645" t="s">
        <v>1146</v>
      </c>
      <c r="C100" s="998"/>
      <c r="D100" s="998"/>
      <c r="E100" s="998"/>
      <c r="F100" s="998"/>
      <c r="G100" s="998"/>
      <c r="H100" s="998"/>
      <c r="I100" s="998"/>
      <c r="J100" s="289"/>
      <c r="K100" s="103"/>
      <c r="L100" s="103"/>
    </row>
    <row r="101" spans="1:12" s="119" customFormat="1" ht="15.75" hidden="1" customHeight="1">
      <c r="A101" s="271"/>
      <c r="B101" s="1028"/>
      <c r="C101" s="1029"/>
      <c r="D101" s="1029"/>
      <c r="E101" s="1029"/>
      <c r="F101" s="1029"/>
      <c r="G101" s="1029"/>
      <c r="H101" s="1029"/>
      <c r="I101" s="1029"/>
      <c r="J101" s="289"/>
      <c r="K101" s="103"/>
      <c r="L101" s="103"/>
    </row>
    <row r="102" spans="1:12" s="119" customFormat="1" ht="15.75" hidden="1" customHeight="1">
      <c r="A102" s="271"/>
      <c r="B102" s="645" t="s">
        <v>1147</v>
      </c>
      <c r="C102" s="998"/>
      <c r="D102" s="998"/>
      <c r="E102" s="998"/>
      <c r="F102" s="998"/>
      <c r="G102" s="998"/>
      <c r="H102" s="998"/>
      <c r="I102" s="998"/>
      <c r="J102" s="289"/>
      <c r="K102" s="103"/>
      <c r="L102" s="103"/>
    </row>
    <row r="103" spans="1:12" s="119" customFormat="1" ht="15.75" hidden="1" customHeight="1">
      <c r="A103" s="271"/>
      <c r="B103" s="1028"/>
      <c r="C103" s="1029"/>
      <c r="D103" s="1029"/>
      <c r="E103" s="1029"/>
      <c r="F103" s="1029"/>
      <c r="G103" s="1029"/>
      <c r="H103" s="1029"/>
      <c r="I103" s="1029"/>
      <c r="J103" s="289"/>
      <c r="K103" s="103"/>
      <c r="L103" s="103"/>
    </row>
    <row r="104" spans="1:12" s="119" customFormat="1" ht="15.75" hidden="1" customHeight="1">
      <c r="A104" s="271"/>
      <c r="B104" s="996" t="s">
        <v>1655</v>
      </c>
      <c r="C104" s="1007"/>
      <c r="D104" s="1007"/>
      <c r="E104" s="1007"/>
      <c r="F104" s="1007"/>
      <c r="G104" s="1007"/>
      <c r="H104" s="1007"/>
      <c r="I104" s="997"/>
      <c r="J104" s="271"/>
      <c r="K104" s="103"/>
      <c r="L104" s="103"/>
    </row>
    <row r="105" spans="1:12" s="119" customFormat="1" ht="15.75" hidden="1" customHeight="1">
      <c r="A105" s="271"/>
      <c r="B105" s="1025"/>
      <c r="C105" s="1026"/>
      <c r="D105" s="1026"/>
      <c r="E105" s="1026"/>
      <c r="F105" s="1026"/>
      <c r="G105" s="1026"/>
      <c r="H105" s="1026"/>
      <c r="I105" s="1027"/>
      <c r="J105" s="271"/>
      <c r="K105" s="103"/>
      <c r="L105" s="103"/>
    </row>
    <row r="106" spans="1:12" s="119" customFormat="1" ht="15.75" hidden="1" customHeight="1">
      <c r="A106" s="271"/>
      <c r="B106" s="996" t="s">
        <v>1656</v>
      </c>
      <c r="C106" s="1007"/>
      <c r="D106" s="1007"/>
      <c r="E106" s="1007"/>
      <c r="F106" s="1007"/>
      <c r="G106" s="1007"/>
      <c r="H106" s="1007"/>
      <c r="I106" s="997"/>
      <c r="J106" s="271"/>
      <c r="K106" s="103"/>
      <c r="L106" s="103"/>
    </row>
    <row r="107" spans="1:12" s="119" customFormat="1" ht="15.75" hidden="1" customHeight="1">
      <c r="A107" s="271"/>
      <c r="B107" s="1025"/>
      <c r="C107" s="1026"/>
      <c r="D107" s="1026"/>
      <c r="E107" s="1026"/>
      <c r="F107" s="1026"/>
      <c r="G107" s="1026"/>
      <c r="H107" s="1026"/>
      <c r="I107" s="1027"/>
      <c r="J107" s="271"/>
      <c r="K107" s="103"/>
      <c r="L107" s="103"/>
    </row>
    <row r="108" spans="1:12" s="119" customFormat="1" ht="15.75" hidden="1" customHeight="1">
      <c r="A108" s="271"/>
      <c r="B108" s="996" t="s">
        <v>1657</v>
      </c>
      <c r="C108" s="1007"/>
      <c r="D108" s="1007"/>
      <c r="E108" s="1007"/>
      <c r="F108" s="1007"/>
      <c r="G108" s="1007"/>
      <c r="H108" s="1007"/>
      <c r="I108" s="997"/>
      <c r="J108" s="271"/>
      <c r="K108" s="103"/>
      <c r="L108" s="103"/>
    </row>
    <row r="109" spans="1:12" s="119" customFormat="1" ht="15.75" hidden="1" customHeight="1">
      <c r="A109" s="271"/>
      <c r="B109" s="1025"/>
      <c r="C109" s="1026"/>
      <c r="D109" s="1026"/>
      <c r="E109" s="1026"/>
      <c r="F109" s="1026"/>
      <c r="G109" s="1026"/>
      <c r="H109" s="1026"/>
      <c r="I109" s="1027"/>
      <c r="J109" s="271"/>
      <c r="K109" s="103"/>
      <c r="L109" s="103"/>
    </row>
    <row r="110" spans="1:12" s="119" customFormat="1" ht="15.75" hidden="1" customHeight="1">
      <c r="A110" s="103"/>
      <c r="B110" s="276"/>
      <c r="C110" s="276"/>
      <c r="D110" s="276"/>
      <c r="E110" s="276"/>
      <c r="F110" s="276"/>
      <c r="G110" s="276"/>
      <c r="H110" s="276"/>
      <c r="I110" s="276"/>
      <c r="J110" s="103"/>
      <c r="K110" s="103"/>
      <c r="L110" s="103"/>
    </row>
    <row r="111" spans="1:12" s="119" customFormat="1" ht="15.75" hidden="1" customHeight="1">
      <c r="A111" s="271"/>
      <c r="B111" s="1003" t="s">
        <v>1152</v>
      </c>
      <c r="C111" s="1004"/>
      <c r="D111" s="198" t="s">
        <v>1077</v>
      </c>
      <c r="E111" s="198" t="s">
        <v>1078</v>
      </c>
      <c r="F111" s="198" t="s">
        <v>1660</v>
      </c>
      <c r="G111" s="198" t="s">
        <v>1079</v>
      </c>
      <c r="H111" s="198" t="s">
        <v>1080</v>
      </c>
      <c r="I111" s="198" t="s">
        <v>1081</v>
      </c>
      <c r="J111" s="289"/>
      <c r="K111" s="103"/>
      <c r="L111" s="103"/>
    </row>
    <row r="112" spans="1:12" s="119" customFormat="1" ht="30" hidden="1" customHeight="1">
      <c r="A112" s="271"/>
      <c r="B112" s="654" t="s">
        <v>1648</v>
      </c>
      <c r="C112" s="655"/>
      <c r="D112" s="277"/>
      <c r="E112" s="278"/>
      <c r="F112" s="454">
        <f>+E112+D112</f>
        <v>0</v>
      </c>
      <c r="G112" s="278"/>
      <c r="H112" s="278"/>
      <c r="I112" s="278"/>
      <c r="J112" s="289"/>
      <c r="K112" s="103"/>
      <c r="L112" s="103"/>
    </row>
    <row r="113" spans="1:12" s="119" customFormat="1" ht="15.75" hidden="1" customHeight="1">
      <c r="A113" s="271"/>
      <c r="B113" s="645" t="s">
        <v>1146</v>
      </c>
      <c r="C113" s="998"/>
      <c r="D113" s="998"/>
      <c r="E113" s="998"/>
      <c r="F113" s="998"/>
      <c r="G113" s="998"/>
      <c r="H113" s="998"/>
      <c r="I113" s="998"/>
      <c r="J113" s="289"/>
      <c r="K113" s="103"/>
      <c r="L113" s="103"/>
    </row>
    <row r="114" spans="1:12" s="119" customFormat="1" ht="15.75" hidden="1" customHeight="1">
      <c r="A114" s="271"/>
      <c r="B114" s="1028"/>
      <c r="C114" s="1029"/>
      <c r="D114" s="1029"/>
      <c r="E114" s="1029"/>
      <c r="F114" s="1029"/>
      <c r="G114" s="1029"/>
      <c r="H114" s="1029"/>
      <c r="I114" s="1029"/>
      <c r="J114" s="289"/>
      <c r="K114" s="103"/>
      <c r="L114" s="103"/>
    </row>
    <row r="115" spans="1:12" s="119" customFormat="1" ht="15.75" hidden="1" customHeight="1">
      <c r="A115" s="271"/>
      <c r="B115" s="645" t="s">
        <v>1147</v>
      </c>
      <c r="C115" s="998"/>
      <c r="D115" s="998"/>
      <c r="E115" s="998"/>
      <c r="F115" s="998"/>
      <c r="G115" s="998"/>
      <c r="H115" s="998"/>
      <c r="I115" s="998"/>
      <c r="J115" s="289"/>
      <c r="K115" s="103"/>
      <c r="L115" s="103"/>
    </row>
    <row r="116" spans="1:12" s="119" customFormat="1" ht="15.75" hidden="1" customHeight="1">
      <c r="A116" s="271"/>
      <c r="B116" s="1028"/>
      <c r="C116" s="1029"/>
      <c r="D116" s="1029"/>
      <c r="E116" s="1029"/>
      <c r="F116" s="1029"/>
      <c r="G116" s="1029"/>
      <c r="H116" s="1029"/>
      <c r="I116" s="1029"/>
      <c r="J116" s="289"/>
      <c r="K116" s="103"/>
      <c r="L116" s="103"/>
    </row>
    <row r="117" spans="1:12" s="119" customFormat="1" ht="15.75" hidden="1" customHeight="1">
      <c r="A117" s="271"/>
      <c r="B117" s="996" t="s">
        <v>1655</v>
      </c>
      <c r="C117" s="1007"/>
      <c r="D117" s="1007"/>
      <c r="E117" s="1007"/>
      <c r="F117" s="1007"/>
      <c r="G117" s="1007"/>
      <c r="H117" s="1007"/>
      <c r="I117" s="997"/>
      <c r="J117" s="271"/>
      <c r="K117" s="103"/>
      <c r="L117" s="103"/>
    </row>
    <row r="118" spans="1:12" s="119" customFormat="1" ht="15.75" hidden="1" customHeight="1">
      <c r="A118" s="271"/>
      <c r="B118" s="1025"/>
      <c r="C118" s="1026"/>
      <c r="D118" s="1026"/>
      <c r="E118" s="1026"/>
      <c r="F118" s="1026"/>
      <c r="G118" s="1026"/>
      <c r="H118" s="1026"/>
      <c r="I118" s="1027"/>
      <c r="J118" s="271"/>
      <c r="K118" s="103"/>
      <c r="L118" s="103"/>
    </row>
    <row r="119" spans="1:12" s="119" customFormat="1" ht="15.75" hidden="1" customHeight="1">
      <c r="A119" s="271"/>
      <c r="B119" s="996" t="s">
        <v>1656</v>
      </c>
      <c r="C119" s="1007"/>
      <c r="D119" s="1007"/>
      <c r="E119" s="1007"/>
      <c r="F119" s="1007"/>
      <c r="G119" s="1007"/>
      <c r="H119" s="1007"/>
      <c r="I119" s="997"/>
      <c r="J119" s="271"/>
      <c r="K119" s="103"/>
      <c r="L119" s="103"/>
    </row>
    <row r="120" spans="1:12" s="119" customFormat="1" ht="15.75" hidden="1" customHeight="1">
      <c r="A120" s="271"/>
      <c r="B120" s="1025"/>
      <c r="C120" s="1026"/>
      <c r="D120" s="1026"/>
      <c r="E120" s="1026"/>
      <c r="F120" s="1026"/>
      <c r="G120" s="1026"/>
      <c r="H120" s="1026"/>
      <c r="I120" s="1027"/>
      <c r="J120" s="271"/>
      <c r="K120" s="103"/>
      <c r="L120" s="103"/>
    </row>
    <row r="121" spans="1:12" s="119" customFormat="1" ht="15.75" hidden="1" customHeight="1">
      <c r="A121" s="271"/>
      <c r="B121" s="996" t="s">
        <v>1657</v>
      </c>
      <c r="C121" s="1007"/>
      <c r="D121" s="1007"/>
      <c r="E121" s="1007"/>
      <c r="F121" s="1007"/>
      <c r="G121" s="1007"/>
      <c r="H121" s="1007"/>
      <c r="I121" s="997"/>
      <c r="J121" s="271"/>
      <c r="K121" s="103"/>
      <c r="L121" s="103"/>
    </row>
    <row r="122" spans="1:12" s="119" customFormat="1" ht="15.75" hidden="1" customHeight="1">
      <c r="A122" s="271"/>
      <c r="B122" s="1025"/>
      <c r="C122" s="1026"/>
      <c r="D122" s="1026"/>
      <c r="E122" s="1026"/>
      <c r="F122" s="1026"/>
      <c r="G122" s="1026"/>
      <c r="H122" s="1026"/>
      <c r="I122" s="1027"/>
      <c r="J122" s="271"/>
      <c r="K122" s="103"/>
      <c r="L122" s="103"/>
    </row>
    <row r="123" spans="1:12" s="119" customFormat="1" ht="15.75" hidden="1" customHeight="1">
      <c r="A123" s="103"/>
      <c r="B123" s="276"/>
      <c r="C123" s="276"/>
      <c r="D123" s="276"/>
      <c r="E123" s="276"/>
      <c r="F123" s="276"/>
      <c r="G123" s="276"/>
      <c r="H123" s="276"/>
      <c r="I123" s="276"/>
      <c r="J123" s="103"/>
      <c r="K123" s="103"/>
      <c r="L123" s="103"/>
    </row>
    <row r="124" spans="1:12" s="119" customFormat="1" ht="15.75" hidden="1" customHeight="1">
      <c r="A124" s="271"/>
      <c r="B124" s="1003" t="s">
        <v>1153</v>
      </c>
      <c r="C124" s="1004"/>
      <c r="D124" s="198" t="s">
        <v>1077</v>
      </c>
      <c r="E124" s="198" t="s">
        <v>1078</v>
      </c>
      <c r="F124" s="198" t="s">
        <v>1660</v>
      </c>
      <c r="G124" s="198" t="s">
        <v>1079</v>
      </c>
      <c r="H124" s="198" t="s">
        <v>1080</v>
      </c>
      <c r="I124" s="198" t="s">
        <v>1081</v>
      </c>
      <c r="J124" s="289"/>
      <c r="K124" s="103"/>
      <c r="L124" s="103"/>
    </row>
    <row r="125" spans="1:12" s="119" customFormat="1" ht="30" hidden="1" customHeight="1">
      <c r="A125" s="271"/>
      <c r="B125" s="654" t="s">
        <v>1648</v>
      </c>
      <c r="C125" s="655"/>
      <c r="D125" s="277"/>
      <c r="E125" s="278"/>
      <c r="F125" s="454">
        <f>+E125+D125</f>
        <v>0</v>
      </c>
      <c r="G125" s="278"/>
      <c r="H125" s="278"/>
      <c r="I125" s="278"/>
      <c r="J125" s="289"/>
      <c r="K125" s="103"/>
      <c r="L125" s="103"/>
    </row>
    <row r="126" spans="1:12" s="119" customFormat="1" ht="15.75" hidden="1" customHeight="1">
      <c r="A126" s="271"/>
      <c r="B126" s="645" t="s">
        <v>1146</v>
      </c>
      <c r="C126" s="998"/>
      <c r="D126" s="998"/>
      <c r="E126" s="998"/>
      <c r="F126" s="998"/>
      <c r="G126" s="998"/>
      <c r="H126" s="998"/>
      <c r="I126" s="998"/>
      <c r="J126" s="289"/>
      <c r="K126" s="103"/>
      <c r="L126" s="103"/>
    </row>
    <row r="127" spans="1:12" s="119" customFormat="1" ht="15.75" hidden="1" customHeight="1">
      <c r="A127" s="271"/>
      <c r="B127" s="1028"/>
      <c r="C127" s="1029"/>
      <c r="D127" s="1029"/>
      <c r="E127" s="1029"/>
      <c r="F127" s="1029"/>
      <c r="G127" s="1029"/>
      <c r="H127" s="1029"/>
      <c r="I127" s="1029"/>
      <c r="J127" s="289"/>
      <c r="K127" s="103"/>
      <c r="L127" s="103"/>
    </row>
    <row r="128" spans="1:12" s="119" customFormat="1" ht="15.75" hidden="1" customHeight="1">
      <c r="A128" s="271"/>
      <c r="B128" s="645" t="s">
        <v>1147</v>
      </c>
      <c r="C128" s="998"/>
      <c r="D128" s="998"/>
      <c r="E128" s="998"/>
      <c r="F128" s="998"/>
      <c r="G128" s="998"/>
      <c r="H128" s="998"/>
      <c r="I128" s="998"/>
      <c r="J128" s="289"/>
      <c r="K128" s="103"/>
      <c r="L128" s="103"/>
    </row>
    <row r="129" spans="1:12" s="119" customFormat="1" ht="15.75" hidden="1" customHeight="1">
      <c r="A129" s="271"/>
      <c r="B129" s="1028"/>
      <c r="C129" s="1029"/>
      <c r="D129" s="1029"/>
      <c r="E129" s="1029"/>
      <c r="F129" s="1029"/>
      <c r="G129" s="1029"/>
      <c r="H129" s="1029"/>
      <c r="I129" s="1029"/>
      <c r="J129" s="289"/>
      <c r="K129" s="103"/>
      <c r="L129" s="103"/>
    </row>
    <row r="130" spans="1:12" s="119" customFormat="1" ht="15.75" hidden="1" customHeight="1">
      <c r="A130" s="271"/>
      <c r="B130" s="996" t="s">
        <v>1655</v>
      </c>
      <c r="C130" s="1007"/>
      <c r="D130" s="1007"/>
      <c r="E130" s="1007"/>
      <c r="F130" s="1007"/>
      <c r="G130" s="1007"/>
      <c r="H130" s="1007"/>
      <c r="I130" s="997"/>
      <c r="J130" s="271"/>
      <c r="K130" s="103"/>
      <c r="L130" s="103"/>
    </row>
    <row r="131" spans="1:12" s="119" customFormat="1" ht="15.75" hidden="1" customHeight="1">
      <c r="A131" s="271"/>
      <c r="B131" s="1025"/>
      <c r="C131" s="1026"/>
      <c r="D131" s="1026"/>
      <c r="E131" s="1026"/>
      <c r="F131" s="1026"/>
      <c r="G131" s="1026"/>
      <c r="H131" s="1026"/>
      <c r="I131" s="1027"/>
      <c r="J131" s="271"/>
      <c r="K131" s="103"/>
      <c r="L131" s="103"/>
    </row>
    <row r="132" spans="1:12" s="119" customFormat="1" ht="15.75" hidden="1" customHeight="1">
      <c r="A132" s="271"/>
      <c r="B132" s="996" t="s">
        <v>1656</v>
      </c>
      <c r="C132" s="1007"/>
      <c r="D132" s="1007"/>
      <c r="E132" s="1007"/>
      <c r="F132" s="1007"/>
      <c r="G132" s="1007"/>
      <c r="H132" s="1007"/>
      <c r="I132" s="997"/>
      <c r="J132" s="271"/>
      <c r="K132" s="103"/>
      <c r="L132" s="103"/>
    </row>
    <row r="133" spans="1:12" s="119" customFormat="1" ht="15.75" hidden="1" customHeight="1">
      <c r="A133" s="271"/>
      <c r="B133" s="1025"/>
      <c r="C133" s="1026"/>
      <c r="D133" s="1026"/>
      <c r="E133" s="1026"/>
      <c r="F133" s="1026"/>
      <c r="G133" s="1026"/>
      <c r="H133" s="1026"/>
      <c r="I133" s="1027"/>
      <c r="J133" s="271"/>
      <c r="K133" s="103"/>
      <c r="L133" s="103"/>
    </row>
    <row r="134" spans="1:12" s="119" customFormat="1" ht="15.75" hidden="1" customHeight="1">
      <c r="A134" s="271"/>
      <c r="B134" s="996" t="s">
        <v>1657</v>
      </c>
      <c r="C134" s="1007"/>
      <c r="D134" s="1007"/>
      <c r="E134" s="1007"/>
      <c r="F134" s="1007"/>
      <c r="G134" s="1007"/>
      <c r="H134" s="1007"/>
      <c r="I134" s="997"/>
      <c r="J134" s="271"/>
      <c r="K134" s="103"/>
      <c r="L134" s="103"/>
    </row>
    <row r="135" spans="1:12" s="119" customFormat="1" ht="15.75" hidden="1" customHeight="1">
      <c r="A135" s="271"/>
      <c r="B135" s="1025"/>
      <c r="C135" s="1026"/>
      <c r="D135" s="1026"/>
      <c r="E135" s="1026"/>
      <c r="F135" s="1026"/>
      <c r="G135" s="1026"/>
      <c r="H135" s="1026"/>
      <c r="I135" s="1027"/>
      <c r="J135" s="271"/>
      <c r="K135" s="103"/>
      <c r="L135" s="103"/>
    </row>
    <row r="136" spans="1:12" s="119" customFormat="1" ht="15.75" hidden="1" customHeight="1">
      <c r="A136" s="103"/>
      <c r="B136" s="276"/>
      <c r="C136" s="276"/>
      <c r="D136" s="276"/>
      <c r="E136" s="276"/>
      <c r="F136" s="276"/>
      <c r="G136" s="276"/>
      <c r="H136" s="276"/>
      <c r="I136" s="276"/>
      <c r="J136" s="103"/>
      <c r="K136" s="103"/>
      <c r="L136" s="103"/>
    </row>
    <row r="137" spans="1:12" s="119" customFormat="1" ht="15.75" hidden="1" customHeight="1">
      <c r="A137" s="271"/>
      <c r="B137" s="1003" t="s">
        <v>1154</v>
      </c>
      <c r="C137" s="1004"/>
      <c r="D137" s="198" t="s">
        <v>1077</v>
      </c>
      <c r="E137" s="198" t="s">
        <v>1078</v>
      </c>
      <c r="F137" s="198" t="s">
        <v>1660</v>
      </c>
      <c r="G137" s="198" t="s">
        <v>1079</v>
      </c>
      <c r="H137" s="198" t="s">
        <v>1080</v>
      </c>
      <c r="I137" s="198" t="s">
        <v>1081</v>
      </c>
      <c r="J137" s="289"/>
      <c r="K137" s="103"/>
      <c r="L137" s="103"/>
    </row>
    <row r="138" spans="1:12" s="119" customFormat="1" ht="30" hidden="1" customHeight="1">
      <c r="A138" s="271"/>
      <c r="B138" s="654" t="s">
        <v>1648</v>
      </c>
      <c r="C138" s="655"/>
      <c r="D138" s="277"/>
      <c r="E138" s="278"/>
      <c r="F138" s="454">
        <f>+E138+D138</f>
        <v>0</v>
      </c>
      <c r="G138" s="278"/>
      <c r="H138" s="278"/>
      <c r="I138" s="278"/>
      <c r="J138" s="289"/>
      <c r="K138" s="103"/>
      <c r="L138" s="103"/>
    </row>
    <row r="139" spans="1:12" s="119" customFormat="1" ht="15.75" hidden="1" customHeight="1">
      <c r="A139" s="271"/>
      <c r="B139" s="645" t="s">
        <v>1146</v>
      </c>
      <c r="C139" s="998"/>
      <c r="D139" s="998"/>
      <c r="E139" s="998"/>
      <c r="F139" s="998"/>
      <c r="G139" s="998"/>
      <c r="H139" s="998"/>
      <c r="I139" s="998"/>
      <c r="J139" s="289"/>
      <c r="K139" s="103"/>
      <c r="L139" s="103"/>
    </row>
    <row r="140" spans="1:12" s="119" customFormat="1" ht="15.75" hidden="1" customHeight="1">
      <c r="A140" s="271"/>
      <c r="B140" s="1028"/>
      <c r="C140" s="1029"/>
      <c r="D140" s="1029"/>
      <c r="E140" s="1029"/>
      <c r="F140" s="1029"/>
      <c r="G140" s="1029"/>
      <c r="H140" s="1029"/>
      <c r="I140" s="1029"/>
      <c r="J140" s="289"/>
      <c r="K140" s="103"/>
      <c r="L140" s="103"/>
    </row>
    <row r="141" spans="1:12" s="119" customFormat="1" ht="15.75" hidden="1" customHeight="1">
      <c r="A141" s="271"/>
      <c r="B141" s="645" t="s">
        <v>1147</v>
      </c>
      <c r="C141" s="998"/>
      <c r="D141" s="998"/>
      <c r="E141" s="998"/>
      <c r="F141" s="998"/>
      <c r="G141" s="998"/>
      <c r="H141" s="998"/>
      <c r="I141" s="998"/>
      <c r="J141" s="289"/>
      <c r="K141" s="103"/>
      <c r="L141" s="103"/>
    </row>
    <row r="142" spans="1:12" s="119" customFormat="1" ht="15.75" hidden="1" customHeight="1">
      <c r="A142" s="271"/>
      <c r="B142" s="1028"/>
      <c r="C142" s="1029"/>
      <c r="D142" s="1029"/>
      <c r="E142" s="1029"/>
      <c r="F142" s="1029"/>
      <c r="G142" s="1029"/>
      <c r="H142" s="1029"/>
      <c r="I142" s="1029"/>
      <c r="J142" s="289"/>
      <c r="K142" s="103"/>
      <c r="L142" s="103"/>
    </row>
    <row r="143" spans="1:12" s="119" customFormat="1" ht="15.75" hidden="1" customHeight="1">
      <c r="A143" s="271"/>
      <c r="B143" s="996" t="s">
        <v>1655</v>
      </c>
      <c r="C143" s="1007"/>
      <c r="D143" s="1007"/>
      <c r="E143" s="1007"/>
      <c r="F143" s="1007"/>
      <c r="G143" s="1007"/>
      <c r="H143" s="1007"/>
      <c r="I143" s="997"/>
      <c r="J143" s="271"/>
      <c r="K143" s="103"/>
      <c r="L143" s="103"/>
    </row>
    <row r="144" spans="1:12" s="119" customFormat="1" ht="15.75" hidden="1" customHeight="1">
      <c r="A144" s="271"/>
      <c r="B144" s="1025"/>
      <c r="C144" s="1026"/>
      <c r="D144" s="1026"/>
      <c r="E144" s="1026"/>
      <c r="F144" s="1026"/>
      <c r="G144" s="1026"/>
      <c r="H144" s="1026"/>
      <c r="I144" s="1027"/>
      <c r="J144" s="271"/>
      <c r="K144" s="103"/>
      <c r="L144" s="103"/>
    </row>
    <row r="145" spans="1:12" s="119" customFormat="1" ht="15.75" hidden="1" customHeight="1">
      <c r="A145" s="271"/>
      <c r="B145" s="996" t="s">
        <v>1656</v>
      </c>
      <c r="C145" s="1007"/>
      <c r="D145" s="1007"/>
      <c r="E145" s="1007"/>
      <c r="F145" s="1007"/>
      <c r="G145" s="1007"/>
      <c r="H145" s="1007"/>
      <c r="I145" s="997"/>
      <c r="J145" s="271"/>
      <c r="K145" s="103"/>
      <c r="L145" s="103"/>
    </row>
    <row r="146" spans="1:12" s="119" customFormat="1" ht="15.75" hidden="1" customHeight="1">
      <c r="A146" s="271"/>
      <c r="B146" s="1025"/>
      <c r="C146" s="1026"/>
      <c r="D146" s="1026"/>
      <c r="E146" s="1026"/>
      <c r="F146" s="1026"/>
      <c r="G146" s="1026"/>
      <c r="H146" s="1026"/>
      <c r="I146" s="1027"/>
      <c r="J146" s="271"/>
      <c r="K146" s="103"/>
      <c r="L146" s="103"/>
    </row>
    <row r="147" spans="1:12" s="119" customFormat="1" ht="15.75" hidden="1" customHeight="1">
      <c r="A147" s="271"/>
      <c r="B147" s="996" t="s">
        <v>1657</v>
      </c>
      <c r="C147" s="1007"/>
      <c r="D147" s="1007"/>
      <c r="E147" s="1007"/>
      <c r="F147" s="1007"/>
      <c r="G147" s="1007"/>
      <c r="H147" s="1007"/>
      <c r="I147" s="997"/>
      <c r="J147" s="271"/>
      <c r="K147" s="103"/>
      <c r="L147" s="103"/>
    </row>
    <row r="148" spans="1:12" s="119" customFormat="1" ht="15.75" hidden="1" customHeight="1">
      <c r="A148" s="271"/>
      <c r="B148" s="1025"/>
      <c r="C148" s="1026"/>
      <c r="D148" s="1026"/>
      <c r="E148" s="1026"/>
      <c r="F148" s="1026"/>
      <c r="G148" s="1026"/>
      <c r="H148" s="1026"/>
      <c r="I148" s="1027"/>
      <c r="J148" s="271"/>
      <c r="K148" s="103"/>
      <c r="L148" s="103"/>
    </row>
    <row r="149" spans="1:12" s="119" customFormat="1" ht="15.75" hidden="1" customHeight="1">
      <c r="A149" s="103"/>
      <c r="B149" s="276"/>
      <c r="C149" s="276"/>
      <c r="D149" s="276"/>
      <c r="E149" s="276"/>
      <c r="F149" s="276"/>
      <c r="G149" s="276"/>
      <c r="H149" s="276"/>
      <c r="I149" s="276"/>
      <c r="J149" s="103"/>
      <c r="K149" s="103"/>
      <c r="L149" s="103"/>
    </row>
    <row r="150" spans="1:12" s="119" customFormat="1" ht="15.75" hidden="1" customHeight="1">
      <c r="A150" s="271"/>
      <c r="B150" s="1003" t="s">
        <v>1155</v>
      </c>
      <c r="C150" s="1004"/>
      <c r="D150" s="198" t="s">
        <v>1077</v>
      </c>
      <c r="E150" s="198" t="s">
        <v>1078</v>
      </c>
      <c r="F150" s="198" t="s">
        <v>1660</v>
      </c>
      <c r="G150" s="198" t="s">
        <v>1079</v>
      </c>
      <c r="H150" s="198" t="s">
        <v>1080</v>
      </c>
      <c r="I150" s="198" t="s">
        <v>1081</v>
      </c>
      <c r="J150" s="289"/>
      <c r="K150" s="103"/>
      <c r="L150" s="103"/>
    </row>
    <row r="151" spans="1:12" s="119" customFormat="1" ht="30" hidden="1" customHeight="1">
      <c r="A151" s="271"/>
      <c r="B151" s="654" t="s">
        <v>1648</v>
      </c>
      <c r="C151" s="655"/>
      <c r="D151" s="277"/>
      <c r="E151" s="278"/>
      <c r="F151" s="454">
        <f>+E151+D151</f>
        <v>0</v>
      </c>
      <c r="G151" s="278"/>
      <c r="H151" s="278"/>
      <c r="I151" s="278"/>
      <c r="J151" s="289"/>
      <c r="K151" s="103"/>
      <c r="L151" s="103"/>
    </row>
    <row r="152" spans="1:12" s="119" customFormat="1" ht="15.75" hidden="1" customHeight="1">
      <c r="A152" s="271"/>
      <c r="B152" s="645" t="s">
        <v>1146</v>
      </c>
      <c r="C152" s="998"/>
      <c r="D152" s="998"/>
      <c r="E152" s="998"/>
      <c r="F152" s="998"/>
      <c r="G152" s="998"/>
      <c r="H152" s="998"/>
      <c r="I152" s="998"/>
      <c r="J152" s="289"/>
      <c r="K152" s="103"/>
      <c r="L152" s="103"/>
    </row>
    <row r="153" spans="1:12" s="119" customFormat="1" ht="15.75" hidden="1" customHeight="1">
      <c r="A153" s="271"/>
      <c r="B153" s="1028"/>
      <c r="C153" s="1029"/>
      <c r="D153" s="1029"/>
      <c r="E153" s="1029"/>
      <c r="F153" s="1029"/>
      <c r="G153" s="1029"/>
      <c r="H153" s="1029"/>
      <c r="I153" s="1029"/>
      <c r="J153" s="289"/>
      <c r="K153" s="103"/>
      <c r="L153" s="103"/>
    </row>
    <row r="154" spans="1:12" s="119" customFormat="1" ht="15.75" hidden="1" customHeight="1">
      <c r="A154" s="271"/>
      <c r="B154" s="645" t="s">
        <v>1147</v>
      </c>
      <c r="C154" s="998"/>
      <c r="D154" s="998"/>
      <c r="E154" s="998"/>
      <c r="F154" s="998"/>
      <c r="G154" s="998"/>
      <c r="H154" s="998"/>
      <c r="I154" s="998"/>
      <c r="J154" s="289"/>
      <c r="K154" s="103"/>
      <c r="L154" s="103"/>
    </row>
    <row r="155" spans="1:12" s="119" customFormat="1" ht="15.75" hidden="1" customHeight="1">
      <c r="A155" s="271"/>
      <c r="B155" s="1028"/>
      <c r="C155" s="1029"/>
      <c r="D155" s="1029"/>
      <c r="E155" s="1029"/>
      <c r="F155" s="1029"/>
      <c r="G155" s="1029"/>
      <c r="H155" s="1029"/>
      <c r="I155" s="1029"/>
      <c r="J155" s="289"/>
      <c r="K155" s="103"/>
      <c r="L155" s="103"/>
    </row>
    <row r="156" spans="1:12" s="119" customFormat="1" ht="15.75" hidden="1" customHeight="1">
      <c r="A156" s="271"/>
      <c r="B156" s="996" t="s">
        <v>1655</v>
      </c>
      <c r="C156" s="1007"/>
      <c r="D156" s="1007"/>
      <c r="E156" s="1007"/>
      <c r="F156" s="1007"/>
      <c r="G156" s="1007"/>
      <c r="H156" s="1007"/>
      <c r="I156" s="997"/>
      <c r="J156" s="271"/>
      <c r="K156" s="103"/>
      <c r="L156" s="103"/>
    </row>
    <row r="157" spans="1:12" s="119" customFormat="1" ht="15.75" hidden="1" customHeight="1">
      <c r="A157" s="271"/>
      <c r="B157" s="1025"/>
      <c r="C157" s="1026"/>
      <c r="D157" s="1026"/>
      <c r="E157" s="1026"/>
      <c r="F157" s="1026"/>
      <c r="G157" s="1026"/>
      <c r="H157" s="1026"/>
      <c r="I157" s="1027"/>
      <c r="J157" s="271"/>
      <c r="K157" s="103"/>
      <c r="L157" s="103"/>
    </row>
    <row r="158" spans="1:12" s="119" customFormat="1" ht="15.75" hidden="1" customHeight="1">
      <c r="A158" s="271"/>
      <c r="B158" s="996" t="s">
        <v>1656</v>
      </c>
      <c r="C158" s="1007"/>
      <c r="D158" s="1007"/>
      <c r="E158" s="1007"/>
      <c r="F158" s="1007"/>
      <c r="G158" s="1007"/>
      <c r="H158" s="1007"/>
      <c r="I158" s="997"/>
      <c r="J158" s="271"/>
      <c r="K158" s="103"/>
      <c r="L158" s="103"/>
    </row>
    <row r="159" spans="1:12" s="119" customFormat="1" ht="15.75" hidden="1" customHeight="1">
      <c r="A159" s="271"/>
      <c r="B159" s="1025"/>
      <c r="C159" s="1026"/>
      <c r="D159" s="1026"/>
      <c r="E159" s="1026"/>
      <c r="F159" s="1026"/>
      <c r="G159" s="1026"/>
      <c r="H159" s="1026"/>
      <c r="I159" s="1027"/>
      <c r="J159" s="271"/>
      <c r="K159" s="103"/>
      <c r="L159" s="103"/>
    </row>
    <row r="160" spans="1:12" s="119" customFormat="1" ht="15.75" hidden="1" customHeight="1">
      <c r="A160" s="271"/>
      <c r="B160" s="996" t="s">
        <v>1657</v>
      </c>
      <c r="C160" s="1007"/>
      <c r="D160" s="1007"/>
      <c r="E160" s="1007"/>
      <c r="F160" s="1007"/>
      <c r="G160" s="1007"/>
      <c r="H160" s="1007"/>
      <c r="I160" s="997"/>
      <c r="J160" s="271"/>
      <c r="K160" s="103"/>
      <c r="L160" s="103"/>
    </row>
    <row r="161" spans="1:12" s="119" customFormat="1" ht="15.75" hidden="1" customHeight="1">
      <c r="A161" s="271"/>
      <c r="B161" s="1025"/>
      <c r="C161" s="1026"/>
      <c r="D161" s="1026"/>
      <c r="E161" s="1026"/>
      <c r="F161" s="1026"/>
      <c r="G161" s="1026"/>
      <c r="H161" s="1026"/>
      <c r="I161" s="1027"/>
      <c r="J161" s="271"/>
      <c r="K161" s="103"/>
      <c r="L161" s="103"/>
    </row>
    <row r="162" spans="1:12" s="119" customFormat="1" ht="15.75" hidden="1" customHeight="1">
      <c r="A162" s="103"/>
      <c r="B162" s="276"/>
      <c r="C162" s="276"/>
      <c r="D162" s="276"/>
      <c r="E162" s="276"/>
      <c r="F162" s="276"/>
      <c r="G162" s="276"/>
      <c r="H162" s="276"/>
      <c r="I162" s="276"/>
      <c r="J162" s="103"/>
      <c r="K162" s="103"/>
      <c r="L162" s="103"/>
    </row>
    <row r="163" spans="1:12" s="119" customFormat="1" ht="15.75" hidden="1" customHeight="1">
      <c r="A163" s="271"/>
      <c r="B163" s="1003" t="s">
        <v>1156</v>
      </c>
      <c r="C163" s="1004"/>
      <c r="D163" s="198" t="s">
        <v>1077</v>
      </c>
      <c r="E163" s="198" t="s">
        <v>1078</v>
      </c>
      <c r="F163" s="198" t="s">
        <v>1660</v>
      </c>
      <c r="G163" s="198" t="s">
        <v>1079</v>
      </c>
      <c r="H163" s="198" t="s">
        <v>1080</v>
      </c>
      <c r="I163" s="198" t="s">
        <v>1081</v>
      </c>
      <c r="J163" s="289"/>
      <c r="K163" s="103"/>
      <c r="L163" s="103"/>
    </row>
    <row r="164" spans="1:12" s="119" customFormat="1" ht="30" hidden="1" customHeight="1">
      <c r="A164" s="271"/>
      <c r="B164" s="654" t="s">
        <v>1648</v>
      </c>
      <c r="C164" s="655"/>
      <c r="D164" s="277"/>
      <c r="E164" s="278"/>
      <c r="F164" s="454">
        <f>+E164+D164</f>
        <v>0</v>
      </c>
      <c r="G164" s="278"/>
      <c r="H164" s="278"/>
      <c r="I164" s="278"/>
      <c r="J164" s="289"/>
      <c r="K164" s="103"/>
      <c r="L164" s="103"/>
    </row>
    <row r="165" spans="1:12" s="119" customFormat="1" ht="15.75" hidden="1" customHeight="1">
      <c r="A165" s="271"/>
      <c r="B165" s="645" t="s">
        <v>1146</v>
      </c>
      <c r="C165" s="998"/>
      <c r="D165" s="998"/>
      <c r="E165" s="998"/>
      <c r="F165" s="998"/>
      <c r="G165" s="998"/>
      <c r="H165" s="998"/>
      <c r="I165" s="998"/>
      <c r="J165" s="289"/>
      <c r="K165" s="103"/>
      <c r="L165" s="103"/>
    </row>
    <row r="166" spans="1:12" s="119" customFormat="1" ht="15.75" hidden="1" customHeight="1">
      <c r="A166" s="271"/>
      <c r="B166" s="1028"/>
      <c r="C166" s="1029"/>
      <c r="D166" s="1029"/>
      <c r="E166" s="1029"/>
      <c r="F166" s="1029"/>
      <c r="G166" s="1029"/>
      <c r="H166" s="1029"/>
      <c r="I166" s="1029"/>
      <c r="J166" s="289"/>
      <c r="K166" s="103"/>
      <c r="L166" s="103"/>
    </row>
    <row r="167" spans="1:12" s="119" customFormat="1" ht="15.75" hidden="1" customHeight="1">
      <c r="A167" s="271"/>
      <c r="B167" s="645" t="s">
        <v>1147</v>
      </c>
      <c r="C167" s="998"/>
      <c r="D167" s="998"/>
      <c r="E167" s="998"/>
      <c r="F167" s="998"/>
      <c r="G167" s="998"/>
      <c r="H167" s="998"/>
      <c r="I167" s="998"/>
      <c r="J167" s="289"/>
      <c r="K167" s="103"/>
      <c r="L167" s="103"/>
    </row>
    <row r="168" spans="1:12" s="119" customFormat="1" ht="15.75" hidden="1" customHeight="1">
      <c r="A168" s="271"/>
      <c r="B168" s="1028"/>
      <c r="C168" s="1029"/>
      <c r="D168" s="1029"/>
      <c r="E168" s="1029"/>
      <c r="F168" s="1029"/>
      <c r="G168" s="1029"/>
      <c r="H168" s="1029"/>
      <c r="I168" s="1029"/>
      <c r="J168" s="289"/>
      <c r="K168" s="103"/>
      <c r="L168" s="103"/>
    </row>
    <row r="169" spans="1:12" s="119" customFormat="1" ht="15.75" hidden="1" customHeight="1">
      <c r="A169" s="271"/>
      <c r="B169" s="996" t="s">
        <v>1655</v>
      </c>
      <c r="C169" s="1007"/>
      <c r="D169" s="1007"/>
      <c r="E169" s="1007"/>
      <c r="F169" s="1007"/>
      <c r="G169" s="1007"/>
      <c r="H169" s="1007"/>
      <c r="I169" s="997"/>
      <c r="J169" s="271"/>
      <c r="K169" s="103"/>
      <c r="L169" s="103"/>
    </row>
    <row r="170" spans="1:12" s="119" customFormat="1" ht="15.75" hidden="1" customHeight="1">
      <c r="A170" s="271"/>
      <c r="B170" s="1025"/>
      <c r="C170" s="1026"/>
      <c r="D170" s="1026"/>
      <c r="E170" s="1026"/>
      <c r="F170" s="1026"/>
      <c r="G170" s="1026"/>
      <c r="H170" s="1026"/>
      <c r="I170" s="1027"/>
      <c r="J170" s="271"/>
      <c r="K170" s="103"/>
      <c r="L170" s="103"/>
    </row>
    <row r="171" spans="1:12" s="119" customFormat="1" ht="15.75" hidden="1" customHeight="1">
      <c r="A171" s="271"/>
      <c r="B171" s="996" t="s">
        <v>1656</v>
      </c>
      <c r="C171" s="1007"/>
      <c r="D171" s="1007"/>
      <c r="E171" s="1007"/>
      <c r="F171" s="1007"/>
      <c r="G171" s="1007"/>
      <c r="H171" s="1007"/>
      <c r="I171" s="997"/>
      <c r="J171" s="271"/>
      <c r="K171" s="103"/>
      <c r="L171" s="103"/>
    </row>
    <row r="172" spans="1:12" s="119" customFormat="1" ht="15.75" hidden="1" customHeight="1">
      <c r="A172" s="271"/>
      <c r="B172" s="1025"/>
      <c r="C172" s="1026"/>
      <c r="D172" s="1026"/>
      <c r="E172" s="1026"/>
      <c r="F172" s="1026"/>
      <c r="G172" s="1026"/>
      <c r="H172" s="1026"/>
      <c r="I172" s="1027"/>
      <c r="J172" s="271"/>
      <c r="K172" s="103"/>
      <c r="L172" s="103"/>
    </row>
    <row r="173" spans="1:12" s="119" customFormat="1" ht="15.75" hidden="1" customHeight="1">
      <c r="A173" s="271"/>
      <c r="B173" s="996" t="s">
        <v>1657</v>
      </c>
      <c r="C173" s="1007"/>
      <c r="D173" s="1007"/>
      <c r="E173" s="1007"/>
      <c r="F173" s="1007"/>
      <c r="G173" s="1007"/>
      <c r="H173" s="1007"/>
      <c r="I173" s="997"/>
      <c r="J173" s="271"/>
      <c r="K173" s="103"/>
      <c r="L173" s="103"/>
    </row>
    <row r="174" spans="1:12" s="119" customFormat="1" ht="15.75" hidden="1" customHeight="1">
      <c r="A174" s="271"/>
      <c r="B174" s="1025"/>
      <c r="C174" s="1026"/>
      <c r="D174" s="1026"/>
      <c r="E174" s="1026"/>
      <c r="F174" s="1026"/>
      <c r="G174" s="1026"/>
      <c r="H174" s="1026"/>
      <c r="I174" s="1027"/>
      <c r="J174" s="271"/>
      <c r="K174" s="103"/>
      <c r="L174" s="103"/>
    </row>
    <row r="175" spans="1:12" s="119" customFormat="1" ht="15.75" hidden="1" customHeight="1">
      <c r="A175" s="103"/>
      <c r="B175" s="276"/>
      <c r="C175" s="276"/>
      <c r="D175" s="276"/>
      <c r="E175" s="276"/>
      <c r="F175" s="276"/>
      <c r="G175" s="276"/>
      <c r="H175" s="276"/>
      <c r="I175" s="276"/>
      <c r="J175" s="103"/>
      <c r="K175" s="103"/>
      <c r="L175" s="103"/>
    </row>
    <row r="176" spans="1:12" s="119" customFormat="1" ht="15.75" hidden="1" customHeight="1">
      <c r="A176" s="103"/>
      <c r="D176" s="198" t="s">
        <v>1077</v>
      </c>
      <c r="E176" s="198" t="s">
        <v>1078</v>
      </c>
      <c r="F176" s="198" t="s">
        <v>1660</v>
      </c>
      <c r="G176" s="198" t="s">
        <v>1079</v>
      </c>
      <c r="H176" s="198" t="s">
        <v>1080</v>
      </c>
      <c r="I176" s="198" t="s">
        <v>1081</v>
      </c>
      <c r="J176" s="289"/>
      <c r="K176" s="103"/>
      <c r="L176" s="103"/>
    </row>
    <row r="177" spans="1:12" s="119" customFormat="1" ht="15.75" hidden="1" customHeight="1">
      <c r="A177" s="271"/>
      <c r="B177" s="1003" t="s">
        <v>1649</v>
      </c>
      <c r="C177" s="1004"/>
      <c r="D177" s="454">
        <f>D164+D151+D138+D125+D112+D99+D86+D73+D60+D47</f>
        <v>0</v>
      </c>
      <c r="E177" s="454">
        <f>E164+E151+E138+E125+E112+E99+E86+E73+E60+E47</f>
        <v>0</v>
      </c>
      <c r="F177" s="454">
        <f>+E177+D177</f>
        <v>0</v>
      </c>
      <c r="G177" s="454">
        <f>G164+G151+G138+G125+G112+G99+G86+G73+G60+G47</f>
        <v>0</v>
      </c>
      <c r="H177" s="454">
        <f>H164+H151+H138+H125+H112+H99+H86+H73+H60+H47</f>
        <v>0</v>
      </c>
      <c r="I177" s="454">
        <f>I164+I151+I138+I125+I112+I99+I86+I73+I60+I47</f>
        <v>0</v>
      </c>
      <c r="J177" s="289"/>
      <c r="K177" s="103"/>
      <c r="L177" s="103"/>
    </row>
    <row r="178" spans="1:12" s="119" customFormat="1" ht="15.75" hidden="1" customHeight="1">
      <c r="A178" s="103"/>
      <c r="B178" s="276"/>
      <c r="C178" s="276"/>
      <c r="D178" s="276"/>
      <c r="E178" s="276"/>
      <c r="F178" s="276"/>
      <c r="G178" s="276"/>
      <c r="H178" s="276"/>
      <c r="I178" s="276"/>
      <c r="J178" s="103"/>
      <c r="K178" s="103"/>
      <c r="L178" s="103"/>
    </row>
    <row r="179" spans="1:12" s="119" customFormat="1" ht="15.75" hidden="1" customHeight="1">
      <c r="A179" s="103"/>
      <c r="B179" s="76" t="s">
        <v>1659</v>
      </c>
      <c r="D179" s="118"/>
      <c r="E179" s="118"/>
      <c r="F179" s="118"/>
      <c r="G179" s="118"/>
      <c r="H179" s="118"/>
      <c r="I179" s="118"/>
    </row>
    <row r="180" spans="1:12" s="119" customFormat="1" ht="15.75" hidden="1" customHeight="1">
      <c r="A180" s="103"/>
      <c r="B180" s="118"/>
      <c r="C180" s="118"/>
      <c r="D180" s="118"/>
      <c r="E180" s="118"/>
      <c r="F180" s="118"/>
      <c r="G180" s="118"/>
      <c r="H180" s="118"/>
      <c r="I180" s="118"/>
      <c r="J180" s="103"/>
      <c r="K180" s="103"/>
      <c r="L180" s="103"/>
    </row>
    <row r="181" spans="1:12" s="119" customFormat="1" ht="30" hidden="1" customHeight="1">
      <c r="A181" s="271"/>
      <c r="B181" s="1019" t="s">
        <v>1159</v>
      </c>
      <c r="C181" s="1020"/>
      <c r="D181" s="1020"/>
      <c r="E181" s="1020"/>
      <c r="F181" s="1020"/>
      <c r="G181" s="1020"/>
      <c r="H181" s="1020"/>
      <c r="I181" s="1021"/>
      <c r="J181" s="103"/>
      <c r="K181" s="103"/>
      <c r="L181" s="103"/>
    </row>
    <row r="182" spans="1:12" hidden="1">
      <c r="B182" s="288"/>
      <c r="C182" s="288"/>
      <c r="D182" s="288"/>
      <c r="E182" s="288"/>
      <c r="F182" s="288"/>
      <c r="G182" s="288"/>
      <c r="H182" s="288"/>
      <c r="I182" s="288"/>
    </row>
    <row r="183" spans="1:12" hidden="1">
      <c r="B183" s="1030" t="s">
        <v>240</v>
      </c>
      <c r="C183" s="1031"/>
      <c r="D183" s="198" t="s">
        <v>1077</v>
      </c>
      <c r="E183" s="198" t="s">
        <v>1078</v>
      </c>
      <c r="F183" s="198" t="s">
        <v>1660</v>
      </c>
      <c r="G183" s="198" t="s">
        <v>1079</v>
      </c>
      <c r="H183" s="198" t="s">
        <v>1080</v>
      </c>
      <c r="I183" s="198" t="s">
        <v>1081</v>
      </c>
      <c r="J183" s="163"/>
    </row>
    <row r="184" spans="1:12" hidden="1">
      <c r="B184" s="645" t="s">
        <v>1160</v>
      </c>
      <c r="C184" s="998"/>
      <c r="D184" s="277"/>
      <c r="E184" s="278"/>
      <c r="F184" s="454">
        <f t="shared" ref="F184:F189" si="1">+E184+D184</f>
        <v>0</v>
      </c>
      <c r="G184" s="278"/>
      <c r="H184" s="278"/>
      <c r="I184" s="278"/>
      <c r="J184" s="163"/>
    </row>
    <row r="185" spans="1:12" hidden="1">
      <c r="B185" s="645" t="s">
        <v>1161</v>
      </c>
      <c r="C185" s="998"/>
      <c r="D185" s="277"/>
      <c r="E185" s="278"/>
      <c r="F185" s="454">
        <f t="shared" si="1"/>
        <v>0</v>
      </c>
      <c r="G185" s="278"/>
      <c r="H185" s="278"/>
      <c r="I185" s="278"/>
      <c r="J185" s="163"/>
    </row>
    <row r="186" spans="1:12" hidden="1">
      <c r="B186" s="645" t="s">
        <v>1162</v>
      </c>
      <c r="C186" s="998"/>
      <c r="D186" s="277"/>
      <c r="E186" s="278"/>
      <c r="F186" s="454">
        <f t="shared" si="1"/>
        <v>0</v>
      </c>
      <c r="G186" s="278"/>
      <c r="H186" s="278"/>
      <c r="I186" s="278"/>
      <c r="J186" s="163"/>
    </row>
    <row r="187" spans="1:12" hidden="1">
      <c r="B187" s="645" t="s">
        <v>1163</v>
      </c>
      <c r="C187" s="998"/>
      <c r="D187" s="277"/>
      <c r="E187" s="278"/>
      <c r="F187" s="454">
        <f t="shared" si="1"/>
        <v>0</v>
      </c>
      <c r="G187" s="278"/>
      <c r="H187" s="278"/>
      <c r="I187" s="278"/>
      <c r="J187" s="163"/>
    </row>
    <row r="188" spans="1:12" hidden="1">
      <c r="B188" s="645" t="s">
        <v>1164</v>
      </c>
      <c r="C188" s="998"/>
      <c r="D188" s="277"/>
      <c r="E188" s="278"/>
      <c r="F188" s="454">
        <f t="shared" si="1"/>
        <v>0</v>
      </c>
      <c r="G188" s="278"/>
      <c r="H188" s="278"/>
      <c r="I188" s="278"/>
      <c r="J188" s="163"/>
    </row>
    <row r="189" spans="1:12" hidden="1">
      <c r="B189" s="645" t="s">
        <v>1165</v>
      </c>
      <c r="C189" s="998"/>
      <c r="D189" s="277"/>
      <c r="E189" s="278"/>
      <c r="F189" s="454">
        <f t="shared" si="1"/>
        <v>0</v>
      </c>
      <c r="G189" s="278"/>
      <c r="H189" s="278"/>
      <c r="I189" s="278"/>
      <c r="J189" s="163"/>
    </row>
    <row r="190" spans="1:12" hidden="1">
      <c r="B190" s="1003" t="s">
        <v>1157</v>
      </c>
      <c r="C190" s="1004"/>
      <c r="D190" s="454">
        <f>D184+D186+D187+D188+D189</f>
        <v>0</v>
      </c>
      <c r="E190" s="454">
        <f t="shared" ref="E190:I190" si="2">E184+E186+E187+E188+E189</f>
        <v>0</v>
      </c>
      <c r="F190" s="454">
        <f>+E190+D190</f>
        <v>0</v>
      </c>
      <c r="G190" s="454">
        <f t="shared" si="2"/>
        <v>0</v>
      </c>
      <c r="H190" s="454">
        <f t="shared" si="2"/>
        <v>0</v>
      </c>
      <c r="I190" s="454">
        <f t="shared" si="2"/>
        <v>0</v>
      </c>
      <c r="J190" s="163"/>
    </row>
    <row r="191" spans="1:12" hidden="1">
      <c r="B191" s="288"/>
      <c r="C191" s="288"/>
      <c r="D191" s="288"/>
      <c r="E191" s="288"/>
      <c r="F191" s="288"/>
      <c r="G191" s="288"/>
      <c r="H191" s="288"/>
      <c r="I191" s="288"/>
    </row>
    <row r="192" spans="1:12" hidden="1">
      <c r="B192" s="1030" t="s">
        <v>240</v>
      </c>
      <c r="C192" s="1031"/>
      <c r="D192" s="198" t="s">
        <v>1077</v>
      </c>
      <c r="E192" s="198" t="s">
        <v>1078</v>
      </c>
      <c r="F192" s="198" t="s">
        <v>1660</v>
      </c>
      <c r="G192" s="198" t="s">
        <v>1079</v>
      </c>
      <c r="H192" s="198" t="s">
        <v>1080</v>
      </c>
      <c r="I192" s="198" t="s">
        <v>1081</v>
      </c>
      <c r="J192" s="163"/>
    </row>
    <row r="193" spans="2:10" hidden="1">
      <c r="B193" s="645" t="s">
        <v>1160</v>
      </c>
      <c r="C193" s="998"/>
      <c r="D193" s="277"/>
      <c r="E193" s="278"/>
      <c r="F193" s="454">
        <f t="shared" ref="F193:F198" si="3">+E193+D193</f>
        <v>0</v>
      </c>
      <c r="G193" s="278"/>
      <c r="H193" s="278"/>
      <c r="I193" s="278"/>
      <c r="J193" s="163"/>
    </row>
    <row r="194" spans="2:10" hidden="1">
      <c r="B194" s="645" t="s">
        <v>1161</v>
      </c>
      <c r="C194" s="998"/>
      <c r="D194" s="277"/>
      <c r="E194" s="278"/>
      <c r="F194" s="454">
        <f t="shared" si="3"/>
        <v>0</v>
      </c>
      <c r="G194" s="278"/>
      <c r="H194" s="278"/>
      <c r="I194" s="278"/>
      <c r="J194" s="163"/>
    </row>
    <row r="195" spans="2:10" hidden="1">
      <c r="B195" s="645" t="s">
        <v>1162</v>
      </c>
      <c r="C195" s="998"/>
      <c r="D195" s="277"/>
      <c r="E195" s="278"/>
      <c r="F195" s="454">
        <f t="shared" si="3"/>
        <v>0</v>
      </c>
      <c r="G195" s="278"/>
      <c r="H195" s="278"/>
      <c r="I195" s="278"/>
      <c r="J195" s="163"/>
    </row>
    <row r="196" spans="2:10" hidden="1">
      <c r="B196" s="645" t="s">
        <v>1163</v>
      </c>
      <c r="C196" s="998"/>
      <c r="D196" s="277"/>
      <c r="E196" s="278"/>
      <c r="F196" s="454">
        <f t="shared" si="3"/>
        <v>0</v>
      </c>
      <c r="G196" s="278"/>
      <c r="H196" s="278"/>
      <c r="I196" s="278"/>
      <c r="J196" s="163"/>
    </row>
    <row r="197" spans="2:10" hidden="1">
      <c r="B197" s="645" t="s">
        <v>1164</v>
      </c>
      <c r="C197" s="998"/>
      <c r="D197" s="277"/>
      <c r="E197" s="278"/>
      <c r="F197" s="454">
        <f t="shared" si="3"/>
        <v>0</v>
      </c>
      <c r="G197" s="278"/>
      <c r="H197" s="278"/>
      <c r="I197" s="278"/>
      <c r="J197" s="163"/>
    </row>
    <row r="198" spans="2:10" hidden="1">
      <c r="B198" s="645" t="s">
        <v>1165</v>
      </c>
      <c r="C198" s="998"/>
      <c r="D198" s="277"/>
      <c r="E198" s="278"/>
      <c r="F198" s="454">
        <f t="shared" si="3"/>
        <v>0</v>
      </c>
      <c r="G198" s="278"/>
      <c r="H198" s="278"/>
      <c r="I198" s="278"/>
      <c r="J198" s="163"/>
    </row>
    <row r="199" spans="2:10" hidden="1">
      <c r="B199" s="1003" t="s">
        <v>1157</v>
      </c>
      <c r="C199" s="1004"/>
      <c r="D199" s="454">
        <f>D193+D195+D196+D197+D198</f>
        <v>0</v>
      </c>
      <c r="E199" s="454">
        <f t="shared" ref="E199" si="4">E193+E195+E196+E197+E198</f>
        <v>0</v>
      </c>
      <c r="F199" s="454">
        <f>+E199+D199</f>
        <v>0</v>
      </c>
      <c r="G199" s="454">
        <f t="shared" ref="G199" si="5">G193+G195+G196+G197+G198</f>
        <v>0</v>
      </c>
      <c r="H199" s="454">
        <f t="shared" ref="H199" si="6">H193+H195+H196+H197+H198</f>
        <v>0</v>
      </c>
      <c r="I199" s="454">
        <f t="shared" ref="I199" si="7">I193+I195+I196+I197+I198</f>
        <v>0</v>
      </c>
      <c r="J199" s="163"/>
    </row>
    <row r="200" spans="2:10" hidden="1">
      <c r="B200" s="288"/>
      <c r="C200" s="288"/>
      <c r="D200" s="288"/>
      <c r="E200" s="288"/>
      <c r="F200" s="288"/>
      <c r="G200" s="288"/>
      <c r="H200" s="288"/>
      <c r="I200" s="288"/>
    </row>
    <row r="201" spans="2:10" hidden="1">
      <c r="B201" s="1030" t="s">
        <v>240</v>
      </c>
      <c r="C201" s="1031"/>
      <c r="D201" s="198" t="s">
        <v>1077</v>
      </c>
      <c r="E201" s="198" t="s">
        <v>1078</v>
      </c>
      <c r="F201" s="198" t="s">
        <v>1660</v>
      </c>
      <c r="G201" s="198" t="s">
        <v>1079</v>
      </c>
      <c r="H201" s="198" t="s">
        <v>1080</v>
      </c>
      <c r="I201" s="198" t="s">
        <v>1081</v>
      </c>
      <c r="J201" s="163"/>
    </row>
    <row r="202" spans="2:10" hidden="1">
      <c r="B202" s="645" t="s">
        <v>1160</v>
      </c>
      <c r="C202" s="998"/>
      <c r="D202" s="277"/>
      <c r="E202" s="278"/>
      <c r="F202" s="454">
        <f t="shared" ref="F202:F207" si="8">+E202+D202</f>
        <v>0</v>
      </c>
      <c r="G202" s="278"/>
      <c r="H202" s="278"/>
      <c r="I202" s="278"/>
      <c r="J202" s="163"/>
    </row>
    <row r="203" spans="2:10" hidden="1">
      <c r="B203" s="645" t="s">
        <v>1161</v>
      </c>
      <c r="C203" s="998"/>
      <c r="D203" s="277"/>
      <c r="E203" s="278"/>
      <c r="F203" s="454">
        <f t="shared" si="8"/>
        <v>0</v>
      </c>
      <c r="G203" s="278"/>
      <c r="H203" s="278"/>
      <c r="I203" s="278"/>
      <c r="J203" s="163"/>
    </row>
    <row r="204" spans="2:10" hidden="1">
      <c r="B204" s="645" t="s">
        <v>1162</v>
      </c>
      <c r="C204" s="998"/>
      <c r="D204" s="277"/>
      <c r="E204" s="278"/>
      <c r="F204" s="454">
        <f t="shared" si="8"/>
        <v>0</v>
      </c>
      <c r="G204" s="278"/>
      <c r="H204" s="278"/>
      <c r="I204" s="278"/>
      <c r="J204" s="163"/>
    </row>
    <row r="205" spans="2:10" hidden="1">
      <c r="B205" s="645" t="s">
        <v>1163</v>
      </c>
      <c r="C205" s="998"/>
      <c r="D205" s="277"/>
      <c r="E205" s="278"/>
      <c r="F205" s="454">
        <f t="shared" si="8"/>
        <v>0</v>
      </c>
      <c r="G205" s="278"/>
      <c r="H205" s="278"/>
      <c r="I205" s="278"/>
      <c r="J205" s="163"/>
    </row>
    <row r="206" spans="2:10" hidden="1">
      <c r="B206" s="645" t="s">
        <v>1164</v>
      </c>
      <c r="C206" s="998"/>
      <c r="D206" s="277"/>
      <c r="E206" s="278"/>
      <c r="F206" s="454">
        <f t="shared" si="8"/>
        <v>0</v>
      </c>
      <c r="G206" s="278"/>
      <c r="H206" s="278"/>
      <c r="I206" s="278"/>
      <c r="J206" s="163"/>
    </row>
    <row r="207" spans="2:10" hidden="1">
      <c r="B207" s="645" t="s">
        <v>1165</v>
      </c>
      <c r="C207" s="998"/>
      <c r="D207" s="277"/>
      <c r="E207" s="278"/>
      <c r="F207" s="454">
        <f t="shared" si="8"/>
        <v>0</v>
      </c>
      <c r="G207" s="278"/>
      <c r="H207" s="278"/>
      <c r="I207" s="278"/>
      <c r="J207" s="163"/>
    </row>
    <row r="208" spans="2:10" hidden="1">
      <c r="B208" s="1003" t="s">
        <v>1157</v>
      </c>
      <c r="C208" s="1004"/>
      <c r="D208" s="454">
        <f>D202+D204+D205+D206+D207</f>
        <v>0</v>
      </c>
      <c r="E208" s="454">
        <f t="shared" ref="E208" si="9">E202+E204+E205+E206+E207</f>
        <v>0</v>
      </c>
      <c r="F208" s="454">
        <f>+E208+D208</f>
        <v>0</v>
      </c>
      <c r="G208" s="454">
        <f t="shared" ref="G208" si="10">G202+G204+G205+G206+G207</f>
        <v>0</v>
      </c>
      <c r="H208" s="454">
        <f t="shared" ref="H208" si="11">H202+H204+H205+H206+H207</f>
        <v>0</v>
      </c>
      <c r="I208" s="454">
        <f t="shared" ref="I208" si="12">I202+I204+I205+I206+I207</f>
        <v>0</v>
      </c>
      <c r="J208" s="163"/>
    </row>
    <row r="209" spans="2:10" hidden="1">
      <c r="B209" s="288"/>
      <c r="C209" s="288"/>
      <c r="D209" s="288"/>
      <c r="E209" s="288"/>
      <c r="F209" s="288"/>
      <c r="G209" s="288"/>
      <c r="H209" s="288"/>
      <c r="I209" s="288"/>
    </row>
    <row r="210" spans="2:10" hidden="1">
      <c r="B210" s="1030" t="s">
        <v>240</v>
      </c>
      <c r="C210" s="1031"/>
      <c r="D210" s="198" t="s">
        <v>1077</v>
      </c>
      <c r="E210" s="198" t="s">
        <v>1078</v>
      </c>
      <c r="F210" s="198" t="s">
        <v>1660</v>
      </c>
      <c r="G210" s="198" t="s">
        <v>1079</v>
      </c>
      <c r="H210" s="198" t="s">
        <v>1080</v>
      </c>
      <c r="I210" s="198" t="s">
        <v>1081</v>
      </c>
      <c r="J210" s="163"/>
    </row>
    <row r="211" spans="2:10" hidden="1">
      <c r="B211" s="645" t="s">
        <v>1160</v>
      </c>
      <c r="C211" s="998"/>
      <c r="D211" s="277"/>
      <c r="E211" s="278"/>
      <c r="F211" s="454">
        <f t="shared" ref="F211:F216" si="13">+E211+D211</f>
        <v>0</v>
      </c>
      <c r="G211" s="278"/>
      <c r="H211" s="278"/>
      <c r="I211" s="278"/>
      <c r="J211" s="163"/>
    </row>
    <row r="212" spans="2:10" hidden="1">
      <c r="B212" s="645" t="s">
        <v>1161</v>
      </c>
      <c r="C212" s="998"/>
      <c r="D212" s="277"/>
      <c r="E212" s="278"/>
      <c r="F212" s="454">
        <f t="shared" si="13"/>
        <v>0</v>
      </c>
      <c r="G212" s="278"/>
      <c r="H212" s="278"/>
      <c r="I212" s="278"/>
      <c r="J212" s="163"/>
    </row>
    <row r="213" spans="2:10" hidden="1">
      <c r="B213" s="645" t="s">
        <v>1162</v>
      </c>
      <c r="C213" s="998"/>
      <c r="D213" s="277"/>
      <c r="E213" s="278"/>
      <c r="F213" s="454">
        <f t="shared" si="13"/>
        <v>0</v>
      </c>
      <c r="G213" s="278"/>
      <c r="H213" s="278"/>
      <c r="I213" s="278"/>
      <c r="J213" s="163"/>
    </row>
    <row r="214" spans="2:10" hidden="1">
      <c r="B214" s="645" t="s">
        <v>1163</v>
      </c>
      <c r="C214" s="998"/>
      <c r="D214" s="277"/>
      <c r="E214" s="278"/>
      <c r="F214" s="454">
        <f t="shared" si="13"/>
        <v>0</v>
      </c>
      <c r="G214" s="278"/>
      <c r="H214" s="278"/>
      <c r="I214" s="278"/>
      <c r="J214" s="163"/>
    </row>
    <row r="215" spans="2:10" hidden="1">
      <c r="B215" s="645" t="s">
        <v>1164</v>
      </c>
      <c r="C215" s="998"/>
      <c r="D215" s="277"/>
      <c r="E215" s="278"/>
      <c r="F215" s="454">
        <f t="shared" si="13"/>
        <v>0</v>
      </c>
      <c r="G215" s="278"/>
      <c r="H215" s="278"/>
      <c r="I215" s="278"/>
      <c r="J215" s="163"/>
    </row>
    <row r="216" spans="2:10" hidden="1">
      <c r="B216" s="645" t="s">
        <v>1165</v>
      </c>
      <c r="C216" s="998"/>
      <c r="D216" s="277"/>
      <c r="E216" s="278"/>
      <c r="F216" s="454">
        <f t="shared" si="13"/>
        <v>0</v>
      </c>
      <c r="G216" s="278"/>
      <c r="H216" s="278"/>
      <c r="I216" s="278"/>
      <c r="J216" s="163"/>
    </row>
    <row r="217" spans="2:10" hidden="1">
      <c r="B217" s="1003" t="s">
        <v>1157</v>
      </c>
      <c r="C217" s="1004"/>
      <c r="D217" s="454">
        <f>D211+D213+D214+D215+D216</f>
        <v>0</v>
      </c>
      <c r="E217" s="454">
        <f t="shared" ref="E217" si="14">E211+E213+E214+E215+E216</f>
        <v>0</v>
      </c>
      <c r="F217" s="454">
        <f>+E217+D217</f>
        <v>0</v>
      </c>
      <c r="G217" s="454">
        <f t="shared" ref="G217" si="15">G211+G213+G214+G215+G216</f>
        <v>0</v>
      </c>
      <c r="H217" s="454">
        <f t="shared" ref="H217" si="16">H211+H213+H214+H215+H216</f>
        <v>0</v>
      </c>
      <c r="I217" s="454">
        <f t="shared" ref="I217" si="17">I211+I213+I214+I215+I216</f>
        <v>0</v>
      </c>
      <c r="J217" s="163"/>
    </row>
    <row r="218" spans="2:10" hidden="1">
      <c r="B218" s="288"/>
      <c r="C218" s="288"/>
      <c r="D218" s="288"/>
      <c r="E218" s="288"/>
      <c r="F218" s="288"/>
      <c r="G218" s="288"/>
      <c r="H218" s="288"/>
      <c r="I218" s="288"/>
    </row>
    <row r="219" spans="2:10" hidden="1">
      <c r="B219" s="1030" t="s">
        <v>240</v>
      </c>
      <c r="C219" s="1031"/>
      <c r="D219" s="198" t="s">
        <v>1077</v>
      </c>
      <c r="E219" s="198" t="s">
        <v>1078</v>
      </c>
      <c r="F219" s="198" t="s">
        <v>1660</v>
      </c>
      <c r="G219" s="198" t="s">
        <v>1079</v>
      </c>
      <c r="H219" s="198" t="s">
        <v>1080</v>
      </c>
      <c r="I219" s="198" t="s">
        <v>1081</v>
      </c>
      <c r="J219" s="163"/>
    </row>
    <row r="220" spans="2:10" hidden="1">
      <c r="B220" s="645" t="s">
        <v>1160</v>
      </c>
      <c r="C220" s="998"/>
      <c r="D220" s="277"/>
      <c r="E220" s="278"/>
      <c r="F220" s="454">
        <f t="shared" ref="F220:F225" si="18">+E220+D220</f>
        <v>0</v>
      </c>
      <c r="G220" s="278"/>
      <c r="H220" s="278"/>
      <c r="I220" s="278"/>
      <c r="J220" s="163"/>
    </row>
    <row r="221" spans="2:10" hidden="1">
      <c r="B221" s="645" t="s">
        <v>1161</v>
      </c>
      <c r="C221" s="998"/>
      <c r="D221" s="277"/>
      <c r="E221" s="278"/>
      <c r="F221" s="454">
        <f t="shared" si="18"/>
        <v>0</v>
      </c>
      <c r="G221" s="278"/>
      <c r="H221" s="278"/>
      <c r="I221" s="278"/>
      <c r="J221" s="163"/>
    </row>
    <row r="222" spans="2:10" hidden="1">
      <c r="B222" s="645" t="s">
        <v>1162</v>
      </c>
      <c r="C222" s="998"/>
      <c r="D222" s="277"/>
      <c r="E222" s="278"/>
      <c r="F222" s="454">
        <f t="shared" si="18"/>
        <v>0</v>
      </c>
      <c r="G222" s="278"/>
      <c r="H222" s="278"/>
      <c r="I222" s="278"/>
      <c r="J222" s="163"/>
    </row>
    <row r="223" spans="2:10" hidden="1">
      <c r="B223" s="645" t="s">
        <v>1163</v>
      </c>
      <c r="C223" s="998"/>
      <c r="D223" s="277"/>
      <c r="E223" s="278"/>
      <c r="F223" s="454">
        <f t="shared" si="18"/>
        <v>0</v>
      </c>
      <c r="G223" s="278"/>
      <c r="H223" s="278"/>
      <c r="I223" s="278"/>
      <c r="J223" s="163"/>
    </row>
    <row r="224" spans="2:10" hidden="1">
      <c r="B224" s="645" t="s">
        <v>1164</v>
      </c>
      <c r="C224" s="998"/>
      <c r="D224" s="277"/>
      <c r="E224" s="278"/>
      <c r="F224" s="454">
        <f t="shared" si="18"/>
        <v>0</v>
      </c>
      <c r="G224" s="278"/>
      <c r="H224" s="278"/>
      <c r="I224" s="278"/>
      <c r="J224" s="163"/>
    </row>
    <row r="225" spans="2:10" hidden="1">
      <c r="B225" s="645" t="s">
        <v>1165</v>
      </c>
      <c r="C225" s="998"/>
      <c r="D225" s="277"/>
      <c r="E225" s="278"/>
      <c r="F225" s="454">
        <f t="shared" si="18"/>
        <v>0</v>
      </c>
      <c r="G225" s="278"/>
      <c r="H225" s="278"/>
      <c r="I225" s="278"/>
      <c r="J225" s="163"/>
    </row>
    <row r="226" spans="2:10" hidden="1">
      <c r="B226" s="1003" t="s">
        <v>1157</v>
      </c>
      <c r="C226" s="1004"/>
      <c r="D226" s="454">
        <f>D220+D222+D223+D224+D225</f>
        <v>0</v>
      </c>
      <c r="E226" s="454">
        <f t="shared" ref="E226" si="19">E220+E222+E223+E224+E225</f>
        <v>0</v>
      </c>
      <c r="F226" s="454">
        <f>+E226+D226</f>
        <v>0</v>
      </c>
      <c r="G226" s="454">
        <f t="shared" ref="G226" si="20">G220+G222+G223+G224+G225</f>
        <v>0</v>
      </c>
      <c r="H226" s="454">
        <f t="shared" ref="H226" si="21">H220+H222+H223+H224+H225</f>
        <v>0</v>
      </c>
      <c r="I226" s="454">
        <f t="shared" ref="I226" si="22">I220+I222+I223+I224+I225</f>
        <v>0</v>
      </c>
      <c r="J226" s="163"/>
    </row>
    <row r="227" spans="2:10" hidden="1">
      <c r="B227" s="288"/>
      <c r="C227" s="288"/>
      <c r="D227" s="288"/>
      <c r="E227" s="288"/>
      <c r="F227" s="288"/>
      <c r="G227" s="288"/>
      <c r="H227" s="288"/>
      <c r="I227" s="288"/>
    </row>
    <row r="228" spans="2:10" hidden="1">
      <c r="B228" s="1030" t="s">
        <v>240</v>
      </c>
      <c r="C228" s="1031"/>
      <c r="D228" s="198" t="s">
        <v>1077</v>
      </c>
      <c r="E228" s="198" t="s">
        <v>1078</v>
      </c>
      <c r="F228" s="198" t="s">
        <v>1660</v>
      </c>
      <c r="G228" s="198" t="s">
        <v>1079</v>
      </c>
      <c r="H228" s="198" t="s">
        <v>1080</v>
      </c>
      <c r="I228" s="198" t="s">
        <v>1081</v>
      </c>
      <c r="J228" s="163"/>
    </row>
    <row r="229" spans="2:10" hidden="1">
      <c r="B229" s="645" t="s">
        <v>1160</v>
      </c>
      <c r="C229" s="998"/>
      <c r="D229" s="277"/>
      <c r="E229" s="278"/>
      <c r="F229" s="454">
        <f t="shared" ref="F229:F234" si="23">+E229+D229</f>
        <v>0</v>
      </c>
      <c r="G229" s="278"/>
      <c r="H229" s="278"/>
      <c r="I229" s="278"/>
      <c r="J229" s="163"/>
    </row>
    <row r="230" spans="2:10" hidden="1">
      <c r="B230" s="645" t="s">
        <v>1161</v>
      </c>
      <c r="C230" s="998"/>
      <c r="D230" s="277"/>
      <c r="E230" s="278"/>
      <c r="F230" s="454">
        <f t="shared" si="23"/>
        <v>0</v>
      </c>
      <c r="G230" s="278"/>
      <c r="H230" s="278"/>
      <c r="I230" s="278"/>
      <c r="J230" s="163"/>
    </row>
    <row r="231" spans="2:10" hidden="1">
      <c r="B231" s="645" t="s">
        <v>1162</v>
      </c>
      <c r="C231" s="998"/>
      <c r="D231" s="277"/>
      <c r="E231" s="278"/>
      <c r="F231" s="454">
        <f t="shared" si="23"/>
        <v>0</v>
      </c>
      <c r="G231" s="278"/>
      <c r="H231" s="278"/>
      <c r="I231" s="278"/>
      <c r="J231" s="163"/>
    </row>
    <row r="232" spans="2:10" hidden="1">
      <c r="B232" s="645" t="s">
        <v>1163</v>
      </c>
      <c r="C232" s="998"/>
      <c r="D232" s="277"/>
      <c r="E232" s="278"/>
      <c r="F232" s="454">
        <f t="shared" si="23"/>
        <v>0</v>
      </c>
      <c r="G232" s="278"/>
      <c r="H232" s="278"/>
      <c r="I232" s="278"/>
      <c r="J232" s="163"/>
    </row>
    <row r="233" spans="2:10" hidden="1">
      <c r="B233" s="645" t="s">
        <v>1164</v>
      </c>
      <c r="C233" s="998"/>
      <c r="D233" s="277"/>
      <c r="E233" s="278"/>
      <c r="F233" s="454">
        <f t="shared" si="23"/>
        <v>0</v>
      </c>
      <c r="G233" s="278"/>
      <c r="H233" s="278"/>
      <c r="I233" s="278"/>
      <c r="J233" s="163"/>
    </row>
    <row r="234" spans="2:10" hidden="1">
      <c r="B234" s="645" t="s">
        <v>1165</v>
      </c>
      <c r="C234" s="998"/>
      <c r="D234" s="277"/>
      <c r="E234" s="278"/>
      <c r="F234" s="454">
        <f t="shared" si="23"/>
        <v>0</v>
      </c>
      <c r="G234" s="278"/>
      <c r="H234" s="278"/>
      <c r="I234" s="278"/>
      <c r="J234" s="163"/>
    </row>
    <row r="235" spans="2:10" hidden="1">
      <c r="B235" s="1003" t="s">
        <v>1157</v>
      </c>
      <c r="C235" s="1004"/>
      <c r="D235" s="454">
        <f>D229+D231+D232+D233+D234</f>
        <v>0</v>
      </c>
      <c r="E235" s="454">
        <f t="shared" ref="E235" si="24">E229+E231+E232+E233+E234</f>
        <v>0</v>
      </c>
      <c r="F235" s="454">
        <f>+E235+D235</f>
        <v>0</v>
      </c>
      <c r="G235" s="454">
        <f t="shared" ref="G235" si="25">G229+G231+G232+G233+G234</f>
        <v>0</v>
      </c>
      <c r="H235" s="454">
        <f t="shared" ref="H235" si="26">H229+H231+H232+H233+H234</f>
        <v>0</v>
      </c>
      <c r="I235" s="454">
        <f t="shared" ref="I235" si="27">I229+I231+I232+I233+I234</f>
        <v>0</v>
      </c>
      <c r="J235" s="163"/>
    </row>
    <row r="236" spans="2:10" hidden="1">
      <c r="B236" s="288"/>
      <c r="C236" s="288"/>
      <c r="D236" s="288"/>
      <c r="E236" s="288"/>
      <c r="F236" s="288"/>
      <c r="G236" s="288"/>
      <c r="H236" s="288"/>
      <c r="I236" s="288"/>
    </row>
    <row r="237" spans="2:10" hidden="1">
      <c r="B237" s="1030" t="s">
        <v>240</v>
      </c>
      <c r="C237" s="1031"/>
      <c r="D237" s="198" t="s">
        <v>1077</v>
      </c>
      <c r="E237" s="198" t="s">
        <v>1078</v>
      </c>
      <c r="F237" s="198" t="s">
        <v>1660</v>
      </c>
      <c r="G237" s="198" t="s">
        <v>1079</v>
      </c>
      <c r="H237" s="198" t="s">
        <v>1080</v>
      </c>
      <c r="I237" s="198" t="s">
        <v>1081</v>
      </c>
      <c r="J237" s="163"/>
    </row>
    <row r="238" spans="2:10" hidden="1">
      <c r="B238" s="645" t="s">
        <v>1160</v>
      </c>
      <c r="C238" s="998"/>
      <c r="D238" s="277"/>
      <c r="E238" s="278"/>
      <c r="F238" s="454">
        <f t="shared" ref="F238:F243" si="28">+E238+D238</f>
        <v>0</v>
      </c>
      <c r="G238" s="278"/>
      <c r="H238" s="278"/>
      <c r="I238" s="278"/>
      <c r="J238" s="163"/>
    </row>
    <row r="239" spans="2:10" hidden="1">
      <c r="B239" s="645" t="s">
        <v>1161</v>
      </c>
      <c r="C239" s="998"/>
      <c r="D239" s="277"/>
      <c r="E239" s="278"/>
      <c r="F239" s="454">
        <f t="shared" si="28"/>
        <v>0</v>
      </c>
      <c r="G239" s="278"/>
      <c r="H239" s="278"/>
      <c r="I239" s="278"/>
      <c r="J239" s="163"/>
    </row>
    <row r="240" spans="2:10" hidden="1">
      <c r="B240" s="645" t="s">
        <v>1162</v>
      </c>
      <c r="C240" s="998"/>
      <c r="D240" s="277"/>
      <c r="E240" s="278"/>
      <c r="F240" s="454">
        <f t="shared" si="28"/>
        <v>0</v>
      </c>
      <c r="G240" s="278"/>
      <c r="H240" s="278"/>
      <c r="I240" s="278"/>
      <c r="J240" s="163"/>
    </row>
    <row r="241" spans="2:10" hidden="1">
      <c r="B241" s="645" t="s">
        <v>1163</v>
      </c>
      <c r="C241" s="998"/>
      <c r="D241" s="277"/>
      <c r="E241" s="278"/>
      <c r="F241" s="454">
        <f t="shared" si="28"/>
        <v>0</v>
      </c>
      <c r="G241" s="278"/>
      <c r="H241" s="278"/>
      <c r="I241" s="278"/>
      <c r="J241" s="163"/>
    </row>
    <row r="242" spans="2:10" hidden="1">
      <c r="B242" s="645" t="s">
        <v>1164</v>
      </c>
      <c r="C242" s="998"/>
      <c r="D242" s="277"/>
      <c r="E242" s="278"/>
      <c r="F242" s="454">
        <f t="shared" si="28"/>
        <v>0</v>
      </c>
      <c r="G242" s="278"/>
      <c r="H242" s="278"/>
      <c r="I242" s="278"/>
      <c r="J242" s="163"/>
    </row>
    <row r="243" spans="2:10" hidden="1">
      <c r="B243" s="645" t="s">
        <v>1165</v>
      </c>
      <c r="C243" s="998"/>
      <c r="D243" s="277"/>
      <c r="E243" s="278"/>
      <c r="F243" s="454">
        <f t="shared" si="28"/>
        <v>0</v>
      </c>
      <c r="G243" s="278"/>
      <c r="H243" s="278"/>
      <c r="I243" s="278"/>
      <c r="J243" s="163"/>
    </row>
    <row r="244" spans="2:10" hidden="1">
      <c r="B244" s="1003" t="s">
        <v>1157</v>
      </c>
      <c r="C244" s="1004"/>
      <c r="D244" s="454">
        <f>D238+D240+D241+D242+D243</f>
        <v>0</v>
      </c>
      <c r="E244" s="454">
        <f t="shared" ref="E244" si="29">E238+E240+E241+E242+E243</f>
        <v>0</v>
      </c>
      <c r="F244" s="454">
        <f>+E244+D244</f>
        <v>0</v>
      </c>
      <c r="G244" s="454">
        <f t="shared" ref="G244" si="30">G238+G240+G241+G242+G243</f>
        <v>0</v>
      </c>
      <c r="H244" s="454">
        <f t="shared" ref="H244" si="31">H238+H240+H241+H242+H243</f>
        <v>0</v>
      </c>
      <c r="I244" s="454">
        <f t="shared" ref="I244" si="32">I238+I240+I241+I242+I243</f>
        <v>0</v>
      </c>
      <c r="J244" s="163"/>
    </row>
    <row r="245" spans="2:10" hidden="1">
      <c r="B245" s="288"/>
      <c r="C245" s="288"/>
      <c r="D245" s="288"/>
      <c r="E245" s="288"/>
      <c r="F245" s="288"/>
      <c r="G245" s="288"/>
      <c r="H245" s="288"/>
      <c r="I245" s="288"/>
    </row>
    <row r="246" spans="2:10" hidden="1">
      <c r="B246" s="1030" t="s">
        <v>240</v>
      </c>
      <c r="C246" s="1031"/>
      <c r="D246" s="198" t="s">
        <v>1077</v>
      </c>
      <c r="E246" s="198" t="s">
        <v>1078</v>
      </c>
      <c r="F246" s="198" t="s">
        <v>1660</v>
      </c>
      <c r="G246" s="198" t="s">
        <v>1079</v>
      </c>
      <c r="H246" s="198" t="s">
        <v>1080</v>
      </c>
      <c r="I246" s="198" t="s">
        <v>1081</v>
      </c>
      <c r="J246" s="163"/>
    </row>
    <row r="247" spans="2:10" hidden="1">
      <c r="B247" s="645" t="s">
        <v>1160</v>
      </c>
      <c r="C247" s="998"/>
      <c r="D247" s="277"/>
      <c r="E247" s="278"/>
      <c r="F247" s="454">
        <f t="shared" ref="F247:F252" si="33">+E247+D247</f>
        <v>0</v>
      </c>
      <c r="G247" s="278"/>
      <c r="H247" s="278"/>
      <c r="I247" s="278"/>
      <c r="J247" s="163"/>
    </row>
    <row r="248" spans="2:10" hidden="1">
      <c r="B248" s="645" t="s">
        <v>1161</v>
      </c>
      <c r="C248" s="998"/>
      <c r="D248" s="277"/>
      <c r="E248" s="278"/>
      <c r="F248" s="454">
        <f t="shared" si="33"/>
        <v>0</v>
      </c>
      <c r="G248" s="278"/>
      <c r="H248" s="278"/>
      <c r="I248" s="278"/>
      <c r="J248" s="163"/>
    </row>
    <row r="249" spans="2:10" hidden="1">
      <c r="B249" s="645" t="s">
        <v>1162</v>
      </c>
      <c r="C249" s="998"/>
      <c r="D249" s="277"/>
      <c r="E249" s="278"/>
      <c r="F249" s="454">
        <f t="shared" si="33"/>
        <v>0</v>
      </c>
      <c r="G249" s="278"/>
      <c r="H249" s="278"/>
      <c r="I249" s="278"/>
      <c r="J249" s="163"/>
    </row>
    <row r="250" spans="2:10" hidden="1">
      <c r="B250" s="645" t="s">
        <v>1163</v>
      </c>
      <c r="C250" s="998"/>
      <c r="D250" s="277"/>
      <c r="E250" s="278"/>
      <c r="F250" s="454">
        <f t="shared" si="33"/>
        <v>0</v>
      </c>
      <c r="G250" s="278"/>
      <c r="H250" s="278"/>
      <c r="I250" s="278"/>
      <c r="J250" s="163"/>
    </row>
    <row r="251" spans="2:10" hidden="1">
      <c r="B251" s="645" t="s">
        <v>1164</v>
      </c>
      <c r="C251" s="998"/>
      <c r="D251" s="277"/>
      <c r="E251" s="278"/>
      <c r="F251" s="454">
        <f t="shared" si="33"/>
        <v>0</v>
      </c>
      <c r="G251" s="278"/>
      <c r="H251" s="278"/>
      <c r="I251" s="278"/>
      <c r="J251" s="163"/>
    </row>
    <row r="252" spans="2:10" hidden="1">
      <c r="B252" s="645" t="s">
        <v>1165</v>
      </c>
      <c r="C252" s="998"/>
      <c r="D252" s="277"/>
      <c r="E252" s="278"/>
      <c r="F252" s="454">
        <f t="shared" si="33"/>
        <v>0</v>
      </c>
      <c r="G252" s="278"/>
      <c r="H252" s="278"/>
      <c r="I252" s="278"/>
      <c r="J252" s="163"/>
    </row>
    <row r="253" spans="2:10" hidden="1">
      <c r="B253" s="1003" t="s">
        <v>1157</v>
      </c>
      <c r="C253" s="1004"/>
      <c r="D253" s="454">
        <f>D247+D249+D250+D251+D252</f>
        <v>0</v>
      </c>
      <c r="E253" s="454">
        <f t="shared" ref="E253" si="34">E247+E249+E250+E251+E252</f>
        <v>0</v>
      </c>
      <c r="F253" s="454">
        <f>+E253+D253</f>
        <v>0</v>
      </c>
      <c r="G253" s="454">
        <f t="shared" ref="G253" si="35">G247+G249+G250+G251+G252</f>
        <v>0</v>
      </c>
      <c r="H253" s="454">
        <f t="shared" ref="H253" si="36">H247+H249+H250+H251+H252</f>
        <v>0</v>
      </c>
      <c r="I253" s="454">
        <f t="shared" ref="I253" si="37">I247+I249+I250+I251+I252</f>
        <v>0</v>
      </c>
      <c r="J253" s="163"/>
    </row>
    <row r="254" spans="2:10" hidden="1">
      <c r="B254" s="288"/>
      <c r="C254" s="288"/>
      <c r="D254" s="288"/>
      <c r="E254" s="288"/>
      <c r="F254" s="288"/>
      <c r="G254" s="288"/>
      <c r="H254" s="288"/>
      <c r="I254" s="288"/>
    </row>
    <row r="255" spans="2:10" hidden="1">
      <c r="B255" s="1030" t="s">
        <v>240</v>
      </c>
      <c r="C255" s="1031"/>
      <c r="D255" s="198" t="s">
        <v>1077</v>
      </c>
      <c r="E255" s="198" t="s">
        <v>1078</v>
      </c>
      <c r="F255" s="198" t="s">
        <v>1660</v>
      </c>
      <c r="G255" s="198" t="s">
        <v>1079</v>
      </c>
      <c r="H255" s="198" t="s">
        <v>1080</v>
      </c>
      <c r="I255" s="198" t="s">
        <v>1081</v>
      </c>
      <c r="J255" s="163"/>
    </row>
    <row r="256" spans="2:10" hidden="1">
      <c r="B256" s="645" t="s">
        <v>1160</v>
      </c>
      <c r="C256" s="998"/>
      <c r="D256" s="277"/>
      <c r="E256" s="278"/>
      <c r="F256" s="454">
        <f t="shared" ref="F256:F261" si="38">+E256+D256</f>
        <v>0</v>
      </c>
      <c r="G256" s="278"/>
      <c r="H256" s="278"/>
      <c r="I256" s="278"/>
      <c r="J256" s="163"/>
    </row>
    <row r="257" spans="2:10" hidden="1">
      <c r="B257" s="645" t="s">
        <v>1161</v>
      </c>
      <c r="C257" s="998"/>
      <c r="D257" s="277"/>
      <c r="E257" s="278"/>
      <c r="F257" s="454">
        <f t="shared" si="38"/>
        <v>0</v>
      </c>
      <c r="G257" s="278"/>
      <c r="H257" s="278"/>
      <c r="I257" s="278"/>
      <c r="J257" s="163"/>
    </row>
    <row r="258" spans="2:10" hidden="1">
      <c r="B258" s="645" t="s">
        <v>1162</v>
      </c>
      <c r="C258" s="998"/>
      <c r="D258" s="277"/>
      <c r="E258" s="278"/>
      <c r="F258" s="454">
        <f t="shared" si="38"/>
        <v>0</v>
      </c>
      <c r="G258" s="278"/>
      <c r="H258" s="278"/>
      <c r="I258" s="278"/>
      <c r="J258" s="163"/>
    </row>
    <row r="259" spans="2:10" hidden="1">
      <c r="B259" s="645" t="s">
        <v>1163</v>
      </c>
      <c r="C259" s="998"/>
      <c r="D259" s="277"/>
      <c r="E259" s="278"/>
      <c r="F259" s="454">
        <f t="shared" si="38"/>
        <v>0</v>
      </c>
      <c r="G259" s="278"/>
      <c r="H259" s="278"/>
      <c r="I259" s="278"/>
      <c r="J259" s="163"/>
    </row>
    <row r="260" spans="2:10" hidden="1">
      <c r="B260" s="645" t="s">
        <v>1164</v>
      </c>
      <c r="C260" s="998"/>
      <c r="D260" s="277"/>
      <c r="E260" s="278"/>
      <c r="F260" s="454">
        <f t="shared" si="38"/>
        <v>0</v>
      </c>
      <c r="G260" s="278"/>
      <c r="H260" s="278"/>
      <c r="I260" s="278"/>
      <c r="J260" s="163"/>
    </row>
    <row r="261" spans="2:10" hidden="1">
      <c r="B261" s="645" t="s">
        <v>1165</v>
      </c>
      <c r="C261" s="998"/>
      <c r="D261" s="277"/>
      <c r="E261" s="278"/>
      <c r="F261" s="454">
        <f t="shared" si="38"/>
        <v>0</v>
      </c>
      <c r="G261" s="278"/>
      <c r="H261" s="278"/>
      <c r="I261" s="278"/>
      <c r="J261" s="163"/>
    </row>
    <row r="262" spans="2:10" hidden="1">
      <c r="B262" s="1003" t="s">
        <v>1157</v>
      </c>
      <c r="C262" s="1004"/>
      <c r="D262" s="454">
        <f>D256+D258+D259+D260+D261</f>
        <v>0</v>
      </c>
      <c r="E262" s="454">
        <f t="shared" ref="E262" si="39">E256+E258+E259+E260+E261</f>
        <v>0</v>
      </c>
      <c r="F262" s="454">
        <f>+E262+D262</f>
        <v>0</v>
      </c>
      <c r="G262" s="454">
        <f t="shared" ref="G262" si="40">G256+G258+G259+G260+G261</f>
        <v>0</v>
      </c>
      <c r="H262" s="454">
        <f t="shared" ref="H262" si="41">H256+H258+H259+H260+H261</f>
        <v>0</v>
      </c>
      <c r="I262" s="454">
        <f t="shared" ref="I262" si="42">I256+I258+I259+I260+I261</f>
        <v>0</v>
      </c>
      <c r="J262" s="163"/>
    </row>
    <row r="263" spans="2:10" hidden="1">
      <c r="B263" s="288"/>
      <c r="C263" s="288"/>
      <c r="D263" s="288"/>
      <c r="E263" s="288"/>
      <c r="F263" s="288"/>
      <c r="G263" s="288"/>
      <c r="H263" s="288"/>
      <c r="I263" s="288"/>
    </row>
    <row r="264" spans="2:10" hidden="1">
      <c r="B264" s="1030" t="s">
        <v>240</v>
      </c>
      <c r="C264" s="1031"/>
      <c r="D264" s="198" t="s">
        <v>1077</v>
      </c>
      <c r="E264" s="198" t="s">
        <v>1078</v>
      </c>
      <c r="F264" s="198" t="s">
        <v>1660</v>
      </c>
      <c r="G264" s="198" t="s">
        <v>1079</v>
      </c>
      <c r="H264" s="198" t="s">
        <v>1080</v>
      </c>
      <c r="I264" s="198" t="s">
        <v>1081</v>
      </c>
      <c r="J264" s="163"/>
    </row>
    <row r="265" spans="2:10" hidden="1">
      <c r="B265" s="645" t="s">
        <v>1160</v>
      </c>
      <c r="C265" s="998"/>
      <c r="D265" s="277"/>
      <c r="E265" s="278"/>
      <c r="F265" s="454">
        <f t="shared" ref="F265:F270" si="43">+E265+D265</f>
        <v>0</v>
      </c>
      <c r="G265" s="278"/>
      <c r="H265" s="278"/>
      <c r="I265" s="278"/>
      <c r="J265" s="163"/>
    </row>
    <row r="266" spans="2:10" hidden="1">
      <c r="B266" s="645" t="s">
        <v>1161</v>
      </c>
      <c r="C266" s="998"/>
      <c r="D266" s="277"/>
      <c r="E266" s="278"/>
      <c r="F266" s="454">
        <f t="shared" si="43"/>
        <v>0</v>
      </c>
      <c r="G266" s="278"/>
      <c r="H266" s="278"/>
      <c r="I266" s="278"/>
      <c r="J266" s="163"/>
    </row>
    <row r="267" spans="2:10" hidden="1">
      <c r="B267" s="645" t="s">
        <v>1162</v>
      </c>
      <c r="C267" s="998"/>
      <c r="D267" s="277"/>
      <c r="E267" s="278"/>
      <c r="F267" s="454">
        <f t="shared" si="43"/>
        <v>0</v>
      </c>
      <c r="G267" s="278"/>
      <c r="H267" s="278"/>
      <c r="I267" s="278"/>
      <c r="J267" s="163"/>
    </row>
    <row r="268" spans="2:10" hidden="1">
      <c r="B268" s="645" t="s">
        <v>1163</v>
      </c>
      <c r="C268" s="998"/>
      <c r="D268" s="277"/>
      <c r="E268" s="278"/>
      <c r="F268" s="454">
        <f t="shared" si="43"/>
        <v>0</v>
      </c>
      <c r="G268" s="278"/>
      <c r="H268" s="278"/>
      <c r="I268" s="278"/>
      <c r="J268" s="163"/>
    </row>
    <row r="269" spans="2:10" hidden="1">
      <c r="B269" s="645" t="s">
        <v>1164</v>
      </c>
      <c r="C269" s="998"/>
      <c r="D269" s="277"/>
      <c r="E269" s="278"/>
      <c r="F269" s="454">
        <f t="shared" si="43"/>
        <v>0</v>
      </c>
      <c r="G269" s="278"/>
      <c r="H269" s="278"/>
      <c r="I269" s="278"/>
      <c r="J269" s="163"/>
    </row>
    <row r="270" spans="2:10" hidden="1">
      <c r="B270" s="645" t="s">
        <v>1165</v>
      </c>
      <c r="C270" s="998"/>
      <c r="D270" s="277"/>
      <c r="E270" s="278"/>
      <c r="F270" s="454">
        <f t="shared" si="43"/>
        <v>0</v>
      </c>
      <c r="G270" s="278"/>
      <c r="H270" s="278"/>
      <c r="I270" s="278"/>
      <c r="J270" s="163"/>
    </row>
    <row r="271" spans="2:10" hidden="1">
      <c r="B271" s="1003" t="s">
        <v>1157</v>
      </c>
      <c r="C271" s="1004"/>
      <c r="D271" s="454">
        <f>D265+D267+D268+D269+D270</f>
        <v>0</v>
      </c>
      <c r="E271" s="454">
        <f t="shared" ref="E271" si="44">E265+E267+E268+E269+E270</f>
        <v>0</v>
      </c>
      <c r="F271" s="454">
        <f>+E271+D271</f>
        <v>0</v>
      </c>
      <c r="G271" s="454">
        <f t="shared" ref="G271" si="45">G265+G267+G268+G269+G270</f>
        <v>0</v>
      </c>
      <c r="H271" s="454">
        <f t="shared" ref="H271" si="46">H265+H267+H268+H269+H270</f>
        <v>0</v>
      </c>
      <c r="I271" s="454">
        <f t="shared" ref="I271" si="47">I265+I267+I268+I269+I270</f>
        <v>0</v>
      </c>
      <c r="J271" s="163"/>
    </row>
    <row r="272" spans="2:10" hidden="1">
      <c r="B272" s="237"/>
      <c r="C272" s="237"/>
      <c r="D272" s="237"/>
      <c r="E272" s="237"/>
      <c r="F272" s="237"/>
      <c r="G272" s="237"/>
      <c r="H272" s="237"/>
      <c r="I272" s="237"/>
    </row>
    <row r="273" spans="1:12" s="119" customFormat="1" ht="15.75" hidden="1" customHeight="1">
      <c r="A273" s="103"/>
      <c r="D273" s="198" t="s">
        <v>1077</v>
      </c>
      <c r="E273" s="198" t="s">
        <v>1078</v>
      </c>
      <c r="F273" s="198" t="s">
        <v>1660</v>
      </c>
      <c r="G273" s="198" t="s">
        <v>1079</v>
      </c>
      <c r="H273" s="198" t="s">
        <v>1080</v>
      </c>
      <c r="I273" s="198" t="s">
        <v>1081</v>
      </c>
      <c r="J273" s="289"/>
      <c r="K273" s="103"/>
      <c r="L273" s="103"/>
    </row>
    <row r="274" spans="1:12" s="119" customFormat="1" ht="15.75" hidden="1" customHeight="1">
      <c r="A274" s="271"/>
      <c r="B274" s="1003" t="s">
        <v>1650</v>
      </c>
      <c r="C274" s="1004"/>
      <c r="D274" s="454">
        <f>+D271+D262+D253+D244+D235+D226+D217+D208+D199+D190</f>
        <v>0</v>
      </c>
      <c r="E274" s="454">
        <f t="shared" ref="E274:I274" si="48">+E271+E262+E253+E244+E235+E226+E217+E208+E199+E190</f>
        <v>0</v>
      </c>
      <c r="F274" s="454">
        <f>+E274+D274</f>
        <v>0</v>
      </c>
      <c r="G274" s="454">
        <f t="shared" si="48"/>
        <v>0</v>
      </c>
      <c r="H274" s="454">
        <f t="shared" si="48"/>
        <v>0</v>
      </c>
      <c r="I274" s="454">
        <f t="shared" si="48"/>
        <v>0</v>
      </c>
      <c r="J274" s="289"/>
      <c r="K274" s="103"/>
      <c r="L274" s="103"/>
    </row>
    <row r="275" spans="1:12" s="119" customFormat="1" ht="15.75" customHeight="1">
      <c r="A275" s="103"/>
      <c r="B275" s="276"/>
      <c r="C275" s="276"/>
      <c r="D275" s="276"/>
      <c r="E275" s="276"/>
      <c r="F275" s="276"/>
      <c r="G275" s="276"/>
      <c r="H275" s="276"/>
      <c r="I275" s="276"/>
    </row>
    <row r="276" spans="1:12" s="119" customFormat="1" ht="15.75" customHeight="1">
      <c r="A276" s="271"/>
      <c r="B276" s="654" t="s">
        <v>23</v>
      </c>
      <c r="C276" s="655"/>
      <c r="D276" s="655"/>
      <c r="E276" s="655"/>
      <c r="F276" s="655"/>
      <c r="G276" s="655"/>
      <c r="H276" s="655"/>
      <c r="I276" s="655"/>
      <c r="J276" s="275"/>
    </row>
    <row r="277" spans="1:12" s="119" customFormat="1" ht="60" customHeight="1">
      <c r="A277" s="271"/>
      <c r="B277" s="632" t="s">
        <v>1930</v>
      </c>
      <c r="C277" s="633"/>
      <c r="D277" s="633"/>
      <c r="E277" s="633"/>
      <c r="F277" s="633"/>
      <c r="G277" s="633"/>
      <c r="H277" s="633"/>
      <c r="I277" s="633"/>
      <c r="J277" s="275"/>
    </row>
    <row r="288" spans="1:12" ht="15.75" thickBot="1"/>
    <row r="289" spans="6:6" ht="16.5" thickTop="1" thickBot="1">
      <c r="F289" s="528"/>
    </row>
    <row r="290" spans="6:6" ht="15.75" thickTop="1"/>
  </sheetData>
  <sheetProtection formatCells="0" formatColumns="0" formatRows="0" insertHyperlinks="0"/>
  <mergeCells count="233">
    <mergeCell ref="B268:C268"/>
    <mergeCell ref="B269:C269"/>
    <mergeCell ref="B270:C270"/>
    <mergeCell ref="B271:C271"/>
    <mergeCell ref="B274:C274"/>
    <mergeCell ref="B261:C261"/>
    <mergeCell ref="B262:C262"/>
    <mergeCell ref="B264:C264"/>
    <mergeCell ref="B265:C265"/>
    <mergeCell ref="B266:C266"/>
    <mergeCell ref="B267:C267"/>
    <mergeCell ref="B255:C255"/>
    <mergeCell ref="B256:C256"/>
    <mergeCell ref="B257:C257"/>
    <mergeCell ref="B258:C258"/>
    <mergeCell ref="B259:C259"/>
    <mergeCell ref="B260:C260"/>
    <mergeCell ref="B248:C248"/>
    <mergeCell ref="B249:C249"/>
    <mergeCell ref="B250:C250"/>
    <mergeCell ref="B251:C251"/>
    <mergeCell ref="B252:C252"/>
    <mergeCell ref="B253:C253"/>
    <mergeCell ref="B243:C243"/>
    <mergeCell ref="B244:C244"/>
    <mergeCell ref="B246:C246"/>
    <mergeCell ref="B247:C247"/>
    <mergeCell ref="B234:C234"/>
    <mergeCell ref="B235:C235"/>
    <mergeCell ref="B237:C237"/>
    <mergeCell ref="B238:C238"/>
    <mergeCell ref="B239:C239"/>
    <mergeCell ref="B240:C240"/>
    <mergeCell ref="B233:C233"/>
    <mergeCell ref="B221:C221"/>
    <mergeCell ref="B222:C222"/>
    <mergeCell ref="B223:C223"/>
    <mergeCell ref="B224:C224"/>
    <mergeCell ref="B225:C225"/>
    <mergeCell ref="B226:C226"/>
    <mergeCell ref="B241:C241"/>
    <mergeCell ref="B242:C242"/>
    <mergeCell ref="B210:C210"/>
    <mergeCell ref="B211:C211"/>
    <mergeCell ref="B212:C212"/>
    <mergeCell ref="B213:C213"/>
    <mergeCell ref="B228:C228"/>
    <mergeCell ref="B229:C229"/>
    <mergeCell ref="B230:C230"/>
    <mergeCell ref="B231:C231"/>
    <mergeCell ref="B232:C232"/>
    <mergeCell ref="B201:C201"/>
    <mergeCell ref="B202:C202"/>
    <mergeCell ref="B203:C203"/>
    <mergeCell ref="B204:C204"/>
    <mergeCell ref="B205:C205"/>
    <mergeCell ref="B206:C206"/>
    <mergeCell ref="B276:I276"/>
    <mergeCell ref="B277:I277"/>
    <mergeCell ref="B192:C192"/>
    <mergeCell ref="B193:C193"/>
    <mergeCell ref="B194:C194"/>
    <mergeCell ref="B195:C195"/>
    <mergeCell ref="B196:C196"/>
    <mergeCell ref="B197:C197"/>
    <mergeCell ref="B198:C198"/>
    <mergeCell ref="B199:C199"/>
    <mergeCell ref="B214:C214"/>
    <mergeCell ref="B215:C215"/>
    <mergeCell ref="B216:C216"/>
    <mergeCell ref="B217:C217"/>
    <mergeCell ref="B219:C219"/>
    <mergeCell ref="B220:C220"/>
    <mergeCell ref="B207:C207"/>
    <mergeCell ref="B208:C208"/>
    <mergeCell ref="B185:C185"/>
    <mergeCell ref="B186:C186"/>
    <mergeCell ref="B187:C187"/>
    <mergeCell ref="B188:C188"/>
    <mergeCell ref="B189:C189"/>
    <mergeCell ref="B190:C190"/>
    <mergeCell ref="B138:C138"/>
    <mergeCell ref="B139:I139"/>
    <mergeCell ref="B140:I140"/>
    <mergeCell ref="B141:I141"/>
    <mergeCell ref="B142:I142"/>
    <mergeCell ref="B150:C150"/>
    <mergeCell ref="B144:I144"/>
    <mergeCell ref="B145:I145"/>
    <mergeCell ref="B146:I146"/>
    <mergeCell ref="B147:I147"/>
    <mergeCell ref="B148:I148"/>
    <mergeCell ref="B156:I156"/>
    <mergeCell ref="B157:I157"/>
    <mergeCell ref="B158:I158"/>
    <mergeCell ref="B159:I159"/>
    <mergeCell ref="B160:I160"/>
    <mergeCell ref="B161:I161"/>
    <mergeCell ref="B169:I169"/>
    <mergeCell ref="B60:C60"/>
    <mergeCell ref="B61:I61"/>
    <mergeCell ref="B62:I62"/>
    <mergeCell ref="B63:I63"/>
    <mergeCell ref="B64:I64"/>
    <mergeCell ref="B74:I74"/>
    <mergeCell ref="B85:C85"/>
    <mergeCell ref="B86:C86"/>
    <mergeCell ref="B88:I88"/>
    <mergeCell ref="B87:I87"/>
    <mergeCell ref="B72:C72"/>
    <mergeCell ref="B73:C73"/>
    <mergeCell ref="B75:I75"/>
    <mergeCell ref="B76:I76"/>
    <mergeCell ref="B77:I77"/>
    <mergeCell ref="B65:I65"/>
    <mergeCell ref="B66:I66"/>
    <mergeCell ref="B67:I67"/>
    <mergeCell ref="B68:I68"/>
    <mergeCell ref="B69:I69"/>
    <mergeCell ref="B70:I70"/>
    <mergeCell ref="B78:I78"/>
    <mergeCell ref="B79:I79"/>
    <mergeCell ref="B80:I80"/>
    <mergeCell ref="B21:C21"/>
    <mergeCell ref="B23:I23"/>
    <mergeCell ref="B24:I24"/>
    <mergeCell ref="B31:C31"/>
    <mergeCell ref="B59:C59"/>
    <mergeCell ref="B48:I48"/>
    <mergeCell ref="B49:I49"/>
    <mergeCell ref="B50:I50"/>
    <mergeCell ref="B51:I51"/>
    <mergeCell ref="H44:I44"/>
    <mergeCell ref="B44:G44"/>
    <mergeCell ref="B46:C46"/>
    <mergeCell ref="B47:C47"/>
    <mergeCell ref="B40:I40"/>
    <mergeCell ref="B37:I38"/>
    <mergeCell ref="B52:I52"/>
    <mergeCell ref="B53:I53"/>
    <mergeCell ref="B54:I54"/>
    <mergeCell ref="B55:I55"/>
    <mergeCell ref="B56:I56"/>
    <mergeCell ref="B57:I57"/>
    <mergeCell ref="H6:I6"/>
    <mergeCell ref="B6:G6"/>
    <mergeCell ref="B7:G7"/>
    <mergeCell ref="H7:I7"/>
    <mergeCell ref="B9:I9"/>
    <mergeCell ref="B13:C13"/>
    <mergeCell ref="B181:I181"/>
    <mergeCell ref="B183:C183"/>
    <mergeCell ref="B184:C184"/>
    <mergeCell ref="B167:I167"/>
    <mergeCell ref="B168:I168"/>
    <mergeCell ref="B177:C177"/>
    <mergeCell ref="B163:C163"/>
    <mergeCell ref="B155:I155"/>
    <mergeCell ref="B164:C164"/>
    <mergeCell ref="B165:I165"/>
    <mergeCell ref="B166:I166"/>
    <mergeCell ref="B151:C151"/>
    <mergeCell ref="B152:I152"/>
    <mergeCell ref="B153:I153"/>
    <mergeCell ref="B154:I154"/>
    <mergeCell ref="B128:I128"/>
    <mergeCell ref="B129:I129"/>
    <mergeCell ref="B126:I126"/>
    <mergeCell ref="B12:C12"/>
    <mergeCell ref="B11:C11"/>
    <mergeCell ref="B14:C14"/>
    <mergeCell ref="B15:C15"/>
    <mergeCell ref="B16:C16"/>
    <mergeCell ref="B17:C17"/>
    <mergeCell ref="B127:I127"/>
    <mergeCell ref="B137:C137"/>
    <mergeCell ref="B124:C124"/>
    <mergeCell ref="B125:C125"/>
    <mergeCell ref="B111:C111"/>
    <mergeCell ref="B112:C112"/>
    <mergeCell ref="B98:C98"/>
    <mergeCell ref="B99:C99"/>
    <mergeCell ref="B100:I100"/>
    <mergeCell ref="B101:I101"/>
    <mergeCell ref="B28:G28"/>
    <mergeCell ref="H28:I28"/>
    <mergeCell ref="B29:G29"/>
    <mergeCell ref="H29:I29"/>
    <mergeCell ref="B35:I35"/>
    <mergeCell ref="B18:C18"/>
    <mergeCell ref="B19:C19"/>
    <mergeCell ref="B20:C20"/>
    <mergeCell ref="B81:I81"/>
    <mergeCell ref="B82:I82"/>
    <mergeCell ref="B83:I83"/>
    <mergeCell ref="B91:I91"/>
    <mergeCell ref="B92:I92"/>
    <mergeCell ref="B93:I93"/>
    <mergeCell ref="B94:I94"/>
    <mergeCell ref="B95:I95"/>
    <mergeCell ref="B96:I96"/>
    <mergeCell ref="B104:I104"/>
    <mergeCell ref="B102:I102"/>
    <mergeCell ref="B103:I103"/>
    <mergeCell ref="B89:I89"/>
    <mergeCell ref="B90:I90"/>
    <mergeCell ref="B105:I105"/>
    <mergeCell ref="B106:I106"/>
    <mergeCell ref="B107:I107"/>
    <mergeCell ref="B108:I108"/>
    <mergeCell ref="B109:I109"/>
    <mergeCell ref="B117:I117"/>
    <mergeCell ref="B118:I118"/>
    <mergeCell ref="B119:I119"/>
    <mergeCell ref="B120:I120"/>
    <mergeCell ref="B113:I113"/>
    <mergeCell ref="B114:I114"/>
    <mergeCell ref="B115:I115"/>
    <mergeCell ref="B116:I116"/>
    <mergeCell ref="B170:I170"/>
    <mergeCell ref="B171:I171"/>
    <mergeCell ref="B172:I172"/>
    <mergeCell ref="B173:I173"/>
    <mergeCell ref="B174:I174"/>
    <mergeCell ref="B121:I121"/>
    <mergeCell ref="B122:I122"/>
    <mergeCell ref="B130:I130"/>
    <mergeCell ref="B131:I131"/>
    <mergeCell ref="B132:I132"/>
    <mergeCell ref="B133:I133"/>
    <mergeCell ref="B134:I134"/>
    <mergeCell ref="B135:I135"/>
    <mergeCell ref="B143:I143"/>
  </mergeCells>
  <conditionalFormatting sqref="H6:I7 B12:C21 H28:I29 B31:C31 H44:I44 D177:E177 B183:C183 B192:C192 B201:C201 B210:C210 B219:C219 B228:C228 B237:C237 B246:C246 B255:C255 B264:C264 G177:I177">
    <cfRule type="expression" dxfId="124" priority="12">
      <formula>$A$2="PRINT"</formula>
    </cfRule>
  </conditionalFormatting>
  <conditionalFormatting sqref="D190:E190 G190:I190">
    <cfRule type="expression" dxfId="123" priority="11">
      <formula>$A$2="PRINT"</formula>
    </cfRule>
  </conditionalFormatting>
  <conditionalFormatting sqref="D199:E199 G199:I199">
    <cfRule type="expression" dxfId="122" priority="10">
      <formula>$A$2="PRINT"</formula>
    </cfRule>
  </conditionalFormatting>
  <conditionalFormatting sqref="D208:E208 G208:I208">
    <cfRule type="expression" dxfId="121" priority="9">
      <formula>$A$2="PRINT"</formula>
    </cfRule>
  </conditionalFormatting>
  <conditionalFormatting sqref="D217:E217 G217:I217">
    <cfRule type="expression" dxfId="120" priority="8">
      <formula>$A$2="PRINT"</formula>
    </cfRule>
  </conditionalFormatting>
  <conditionalFormatting sqref="D226:E226 G226:I226">
    <cfRule type="expression" dxfId="119" priority="7">
      <formula>$A$2="PRINT"</formula>
    </cfRule>
  </conditionalFormatting>
  <conditionalFormatting sqref="D235:E235 G235:I235">
    <cfRule type="expression" dxfId="118" priority="6">
      <formula>$A$2="PRINT"</formula>
    </cfRule>
  </conditionalFormatting>
  <conditionalFormatting sqref="D244:E244 G244:I244">
    <cfRule type="expression" dxfId="117" priority="5">
      <formula>$A$2="PRINT"</formula>
    </cfRule>
  </conditionalFormatting>
  <conditionalFormatting sqref="D253:E253 G253:I253">
    <cfRule type="expression" dxfId="116" priority="4">
      <formula>$A$2="PRINT"</formula>
    </cfRule>
  </conditionalFormatting>
  <conditionalFormatting sqref="D262:E262 G262:I262">
    <cfRule type="expression" dxfId="115" priority="3">
      <formula>$A$2="PRINT"</formula>
    </cfRule>
  </conditionalFormatting>
  <conditionalFormatting sqref="D271:E271 G271:I271">
    <cfRule type="expression" dxfId="114" priority="2">
      <formula>$A$2="PRINT"</formula>
    </cfRule>
  </conditionalFormatting>
  <conditionalFormatting sqref="D274:E274 G274:I274">
    <cfRule type="expression" dxfId="113" priority="1">
      <formula>$A$2="PRINT"</formula>
    </cfRule>
  </conditionalFormatting>
  <dataValidations count="3">
    <dataValidation type="list" allowBlank="1" showInputMessage="1" showErrorMessage="1" sqref="H6 H28" xr:uid="{00000000-0002-0000-3100-000000000000}">
      <formula1>"Select,Yes,No"</formula1>
    </dataValidation>
    <dataValidation type="list" allowBlank="1" showInputMessage="1" showErrorMessage="1" sqref="H7:I7 H44:I44" xr:uid="{00000000-0002-0000-3100-000001000000}">
      <formula1>"Select,1,2,3,4,5,6,7,8,9,10"</formula1>
    </dataValidation>
    <dataValidation type="list" allowBlank="1" showInputMessage="1" showErrorMessage="1" sqref="H29:I29" xr:uid="{00000000-0002-0000-3100-000002000000}">
      <formula1>"1,2,3,4,5,6,7,8,9,10"</formula1>
    </dataValidation>
  </dataValidations>
  <pageMargins left="0.70866141732283472" right="0.70866141732283472" top="0.74803149606299213" bottom="0.74803149606299213" header="0.31496062992125984" footer="0.31496062992125984"/>
  <pageSetup paperSize="9" scale="68" fitToHeight="0"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3100-000003000000}">
          <x14:formula1>
            <xm:f>OFFSET('Dynamic lists'!$L$5,,,'Dynamic lists'!$N$5)</xm:f>
          </x14:formula1>
          <xm:sqref>B12:C21 B183:C183 B192:C192 B201:C201 B210:C210 B219:C219 B228:C228 B237:C237 B246:C246 B255:C255 B264:C264</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4">
    <tabColor rgb="FFFDFDD9"/>
    <pageSetUpPr fitToPage="1"/>
  </sheetPr>
  <dimension ref="A1:S101"/>
  <sheetViews>
    <sheetView showGridLines="0" topLeftCell="A94" zoomScale="80" zoomScaleNormal="80" workbookViewId="0">
      <selection activeCell="E68" sqref="E68"/>
    </sheetView>
  </sheetViews>
  <sheetFormatPr defaultColWidth="9.140625" defaultRowHeight="15"/>
  <cols>
    <col min="1" max="1" width="9.140625" style="3"/>
    <col min="2" max="2" width="13.5703125" style="3" bestFit="1" customWidth="1"/>
    <col min="3" max="3" width="45.140625" style="3" customWidth="1"/>
    <col min="4" max="4" width="11.7109375" style="494" customWidth="1"/>
    <col min="5" max="9" width="11.7109375" style="3" customWidth="1"/>
    <col min="10" max="10" width="1.7109375" style="3" customWidth="1"/>
    <col min="11" max="11" width="11.28515625" style="3" bestFit="1" customWidth="1"/>
    <col min="12" max="12" width="9.140625" style="3"/>
    <col min="13" max="13" width="62.85546875" style="3" customWidth="1"/>
    <col min="14" max="16384" width="9.140625" style="3"/>
  </cols>
  <sheetData>
    <row r="1" spans="1:19">
      <c r="A1" s="103"/>
    </row>
    <row r="2" spans="1:19" ht="15.75" customHeight="1" thickBot="1">
      <c r="A2" s="103"/>
      <c r="B2" s="32" t="s">
        <v>1630</v>
      </c>
      <c r="C2" s="32"/>
      <c r="D2" s="576"/>
      <c r="E2" s="32"/>
      <c r="F2" s="32"/>
      <c r="G2" s="32"/>
      <c r="H2" s="32"/>
      <c r="I2" s="32"/>
    </row>
    <row r="3" spans="1:19" ht="15.75" customHeight="1">
      <c r="A3" s="103"/>
      <c r="B3" s="192"/>
      <c r="C3" s="192"/>
      <c r="D3" s="577"/>
      <c r="E3" s="192"/>
      <c r="F3" s="192"/>
      <c r="G3" s="192"/>
      <c r="H3" s="192"/>
      <c r="I3" s="192"/>
    </row>
    <row r="4" spans="1:19" ht="15.75" customHeight="1">
      <c r="A4" s="271"/>
      <c r="B4" s="1057" t="s">
        <v>1631</v>
      </c>
      <c r="C4" s="1058"/>
      <c r="D4" s="1058"/>
      <c r="E4" s="1058"/>
      <c r="F4" s="1058"/>
      <c r="G4" s="1059"/>
      <c r="H4" s="1060" t="s">
        <v>339</v>
      </c>
      <c r="I4" s="1061"/>
      <c r="J4" s="163"/>
    </row>
    <row r="5" spans="1:19" ht="15.75" customHeight="1">
      <c r="A5" s="271"/>
      <c r="B5" s="1014" t="s">
        <v>1632</v>
      </c>
      <c r="C5" s="1015"/>
      <c r="D5" s="1015"/>
      <c r="E5" s="1015"/>
      <c r="F5" s="1015"/>
      <c r="G5" s="1015"/>
      <c r="H5" s="849">
        <v>1</v>
      </c>
      <c r="I5" s="850"/>
      <c r="J5" s="163"/>
    </row>
    <row r="6" spans="1:19" ht="15.75" customHeight="1">
      <c r="A6" s="103"/>
      <c r="B6" s="237"/>
      <c r="C6" s="287"/>
      <c r="D6" s="578"/>
      <c r="E6" s="287"/>
      <c r="F6" s="287"/>
      <c r="G6" s="287"/>
      <c r="H6" s="287"/>
      <c r="I6" s="287"/>
    </row>
    <row r="7" spans="1:19" ht="15.75" customHeight="1">
      <c r="A7" s="271"/>
      <c r="B7" s="1010" t="str">
        <f>'[2]1.1 The situation'!B13</f>
        <v>DCAC Cyprus</v>
      </c>
      <c r="C7" s="1011"/>
      <c r="D7" s="579"/>
      <c r="E7" s="118"/>
      <c r="F7" s="118"/>
      <c r="G7" s="118"/>
      <c r="H7" s="118"/>
      <c r="I7" s="118"/>
    </row>
    <row r="8" spans="1:19" s="119" customFormat="1" ht="15.75" customHeight="1">
      <c r="A8" s="103"/>
      <c r="B8" s="276"/>
      <c r="C8" s="276"/>
      <c r="D8" s="580"/>
      <c r="E8" s="118"/>
      <c r="F8" s="118"/>
      <c r="G8" s="118"/>
      <c r="H8" s="118"/>
      <c r="I8" s="118"/>
    </row>
    <row r="9" spans="1:19" s="119" customFormat="1" ht="15.75" customHeight="1">
      <c r="A9" s="103"/>
      <c r="B9" s="76" t="s">
        <v>1633</v>
      </c>
      <c r="C9" s="76"/>
      <c r="D9" s="581"/>
      <c r="E9" s="76"/>
      <c r="F9" s="76"/>
      <c r="G9" s="76"/>
      <c r="H9" s="76"/>
      <c r="I9" s="76"/>
    </row>
    <row r="10" spans="1:19" s="119" customFormat="1" ht="12" customHeight="1">
      <c r="A10" s="103"/>
      <c r="B10" s="118"/>
      <c r="C10" s="118"/>
      <c r="D10" s="580"/>
      <c r="E10" s="118"/>
      <c r="F10" s="118"/>
      <c r="G10" s="118"/>
      <c r="H10" s="118"/>
      <c r="I10" s="118"/>
    </row>
    <row r="11" spans="1:19" s="119" customFormat="1" ht="125.45" customHeight="1">
      <c r="A11" s="271"/>
      <c r="B11" s="1055" t="s">
        <v>1901</v>
      </c>
      <c r="C11" s="1056"/>
      <c r="D11" s="1056"/>
      <c r="E11" s="1056"/>
      <c r="F11" s="1056"/>
      <c r="G11" s="1056"/>
      <c r="H11" s="1056"/>
      <c r="I11" s="1056"/>
      <c r="J11" s="275"/>
    </row>
    <row r="12" spans="1:19" s="119" customFormat="1" ht="15.75" customHeight="1">
      <c r="A12" s="103"/>
      <c r="B12" s="281"/>
      <c r="C12" s="281"/>
      <c r="D12" s="582"/>
      <c r="E12" s="276"/>
      <c r="F12" s="276"/>
      <c r="G12" s="276"/>
      <c r="H12" s="276"/>
      <c r="I12" s="276"/>
      <c r="M12" s="556" t="s">
        <v>1428</v>
      </c>
      <c r="N12" s="556"/>
      <c r="O12" s="556"/>
      <c r="P12" s="556"/>
      <c r="Q12" s="556"/>
      <c r="R12" s="556"/>
      <c r="S12" s="556"/>
    </row>
    <row r="13" spans="1:19" s="119" customFormat="1" ht="15.75" customHeight="1">
      <c r="A13" s="103"/>
      <c r="B13" s="76" t="s">
        <v>1634</v>
      </c>
      <c r="D13" s="580"/>
      <c r="E13" s="118"/>
      <c r="F13" s="118"/>
      <c r="G13" s="118"/>
      <c r="H13" s="118"/>
      <c r="I13" s="118"/>
      <c r="M13" s="556"/>
      <c r="N13" s="556"/>
      <c r="O13" s="556"/>
      <c r="P13" s="556"/>
      <c r="Q13" s="556"/>
      <c r="R13" s="556"/>
      <c r="S13" s="556"/>
    </row>
    <row r="14" spans="1:19" s="119" customFormat="1" ht="15.75" customHeight="1">
      <c r="A14" s="103"/>
      <c r="B14" s="271"/>
      <c r="C14" s="271"/>
      <c r="D14" s="583"/>
      <c r="E14" s="271"/>
      <c r="F14" s="271"/>
      <c r="G14" s="271"/>
      <c r="H14" s="118"/>
      <c r="I14" s="118"/>
      <c r="M14" s="556"/>
      <c r="N14" s="557" t="s">
        <v>1128</v>
      </c>
      <c r="O14" s="557" t="s">
        <v>1128</v>
      </c>
      <c r="P14" s="557" t="s">
        <v>1128</v>
      </c>
      <c r="Q14" s="558" t="s">
        <v>1129</v>
      </c>
      <c r="R14" s="558" t="s">
        <v>1129</v>
      </c>
      <c r="S14" s="558" t="s">
        <v>1129</v>
      </c>
    </row>
    <row r="15" spans="1:19" s="119" customFormat="1" ht="15.75" customHeight="1">
      <c r="A15" s="271"/>
      <c r="B15" s="1051" t="s">
        <v>1635</v>
      </c>
      <c r="C15" s="1052"/>
      <c r="D15" s="1052"/>
      <c r="E15" s="1052"/>
      <c r="F15" s="1052"/>
      <c r="G15" s="1052"/>
      <c r="H15" s="849">
        <v>5</v>
      </c>
      <c r="I15" s="850"/>
      <c r="J15" s="289"/>
      <c r="K15" s="103"/>
      <c r="L15" s="103"/>
      <c r="M15" s="556" t="s">
        <v>1249</v>
      </c>
      <c r="N15" s="557">
        <v>2019</v>
      </c>
      <c r="O15" s="557">
        <v>2020</v>
      </c>
      <c r="P15" s="557">
        <v>2021</v>
      </c>
      <c r="Q15" s="558">
        <v>2022</v>
      </c>
      <c r="R15" s="558">
        <v>2023</v>
      </c>
      <c r="S15" s="558">
        <v>2024</v>
      </c>
    </row>
    <row r="16" spans="1:19" s="119" customFormat="1" ht="41.45" customHeight="1">
      <c r="A16" s="103"/>
      <c r="B16" s="276"/>
      <c r="C16" s="276"/>
      <c r="D16" s="582"/>
      <c r="E16" s="276"/>
      <c r="F16" s="276"/>
      <c r="G16" s="276"/>
      <c r="H16" s="276"/>
      <c r="I16" s="276"/>
      <c r="J16" s="103"/>
      <c r="K16" s="103"/>
      <c r="L16" s="103"/>
      <c r="M16" s="559" t="s">
        <v>1130</v>
      </c>
      <c r="N16" s="560">
        <v>0</v>
      </c>
      <c r="O16" s="560">
        <v>0</v>
      </c>
      <c r="P16" s="560">
        <v>8</v>
      </c>
      <c r="Q16" s="560">
        <v>11</v>
      </c>
      <c r="R16" s="560">
        <v>10</v>
      </c>
      <c r="S16" s="560">
        <v>8</v>
      </c>
    </row>
    <row r="17" spans="1:19" s="119" customFormat="1" ht="48.6" customHeight="1">
      <c r="A17" s="271"/>
      <c r="B17" s="1003" t="s">
        <v>1145</v>
      </c>
      <c r="C17" s="1004"/>
      <c r="D17" s="584" t="s">
        <v>1077</v>
      </c>
      <c r="E17" s="198" t="s">
        <v>1078</v>
      </c>
      <c r="F17" s="198" t="s">
        <v>1660</v>
      </c>
      <c r="G17" s="198" t="s">
        <v>1079</v>
      </c>
      <c r="H17" s="198" t="s">
        <v>1080</v>
      </c>
      <c r="I17" s="198" t="s">
        <v>1081</v>
      </c>
      <c r="J17" s="289"/>
      <c r="K17" s="103"/>
      <c r="L17" s="103"/>
      <c r="M17" s="561" t="s">
        <v>1387</v>
      </c>
      <c r="N17" s="556">
        <v>3</v>
      </c>
      <c r="O17" s="556">
        <v>5</v>
      </c>
      <c r="P17" s="556">
        <v>3</v>
      </c>
      <c r="Q17" s="556">
        <v>2</v>
      </c>
      <c r="R17" s="556">
        <v>3</v>
      </c>
      <c r="S17" s="556">
        <v>2</v>
      </c>
    </row>
    <row r="18" spans="1:19" s="119" customFormat="1" ht="46.15" customHeight="1">
      <c r="A18" s="271"/>
      <c r="B18" s="654" t="s">
        <v>1647</v>
      </c>
      <c r="C18" s="655"/>
      <c r="D18" s="586">
        <v>0</v>
      </c>
      <c r="E18" s="278">
        <v>881</v>
      </c>
      <c r="F18" s="278">
        <v>881</v>
      </c>
      <c r="G18" s="278">
        <v>1634</v>
      </c>
      <c r="H18" s="278">
        <v>2116</v>
      </c>
      <c r="I18" s="278">
        <v>2447</v>
      </c>
      <c r="J18" s="289"/>
      <c r="K18" s="103"/>
      <c r="L18" s="103"/>
      <c r="M18" s="562" t="s">
        <v>1131</v>
      </c>
      <c r="N18" s="556">
        <v>78</v>
      </c>
      <c r="O18" s="556">
        <v>73</v>
      </c>
      <c r="P18" s="556">
        <v>78</v>
      </c>
      <c r="Q18" s="556">
        <v>87</v>
      </c>
      <c r="R18" s="556">
        <v>94</v>
      </c>
      <c r="S18" s="556">
        <v>100</v>
      </c>
    </row>
    <row r="19" spans="1:19" s="119" customFormat="1" ht="15.75" customHeight="1">
      <c r="A19" s="271"/>
      <c r="B19" s="645" t="s">
        <v>1636</v>
      </c>
      <c r="C19" s="998"/>
      <c r="D19" s="998"/>
      <c r="E19" s="998"/>
      <c r="F19" s="998"/>
      <c r="G19" s="998"/>
      <c r="H19" s="998"/>
      <c r="I19" s="998"/>
      <c r="J19" s="289"/>
      <c r="K19" s="103"/>
      <c r="L19" s="103"/>
    </row>
    <row r="20" spans="1:19" s="119" customFormat="1" ht="282.75" customHeight="1">
      <c r="A20" s="271"/>
      <c r="B20" s="1053" t="s">
        <v>1902</v>
      </c>
      <c r="C20" s="1054"/>
      <c r="D20" s="1054"/>
      <c r="E20" s="1054"/>
      <c r="F20" s="1054"/>
      <c r="G20" s="1054"/>
      <c r="H20" s="1054"/>
      <c r="I20" s="1054"/>
      <c r="J20" s="289"/>
      <c r="K20" s="103"/>
      <c r="L20" s="103"/>
      <c r="S20" s="575"/>
    </row>
    <row r="21" spans="1:19" s="119" customFormat="1" ht="28.5" customHeight="1">
      <c r="A21" s="103"/>
      <c r="B21" s="276"/>
      <c r="C21" s="276"/>
      <c r="D21" s="582"/>
      <c r="E21" s="276"/>
      <c r="F21" s="276"/>
      <c r="G21" s="276"/>
      <c r="H21" s="276"/>
      <c r="I21" s="276"/>
      <c r="J21" s="103"/>
      <c r="K21" s="103"/>
      <c r="L21" s="103"/>
    </row>
    <row r="22" spans="1:19" s="119" customFormat="1" ht="29.45" customHeight="1">
      <c r="A22" s="271"/>
      <c r="B22" s="1003" t="s">
        <v>1148</v>
      </c>
      <c r="C22" s="1004"/>
      <c r="D22" s="584" t="s">
        <v>1077</v>
      </c>
      <c r="E22" s="198" t="s">
        <v>1078</v>
      </c>
      <c r="F22" s="198" t="s">
        <v>1660</v>
      </c>
      <c r="G22" s="198" t="s">
        <v>1079</v>
      </c>
      <c r="H22" s="198" t="s">
        <v>1080</v>
      </c>
      <c r="I22" s="198" t="s">
        <v>1081</v>
      </c>
      <c r="J22" s="289"/>
      <c r="K22" s="103"/>
      <c r="L22" s="103"/>
    </row>
    <row r="23" spans="1:19" s="119" customFormat="1" ht="30" customHeight="1">
      <c r="A23" s="271"/>
      <c r="B23" s="654" t="s">
        <v>1647</v>
      </c>
      <c r="C23" s="655"/>
      <c r="D23" s="586">
        <v>0</v>
      </c>
      <c r="E23" s="278">
        <v>14</v>
      </c>
      <c r="F23" s="278">
        <v>14</v>
      </c>
      <c r="G23" s="278">
        <v>52</v>
      </c>
      <c r="H23" s="278">
        <v>157</v>
      </c>
      <c r="I23" s="278">
        <v>156</v>
      </c>
      <c r="J23" s="289"/>
      <c r="K23" s="103"/>
      <c r="L23" s="103"/>
    </row>
    <row r="24" spans="1:19" s="119" customFormat="1" ht="15.75" customHeight="1">
      <c r="A24" s="271"/>
      <c r="B24" s="645" t="s">
        <v>1636</v>
      </c>
      <c r="C24" s="998"/>
      <c r="D24" s="998"/>
      <c r="E24" s="998"/>
      <c r="F24" s="998"/>
      <c r="G24" s="998"/>
      <c r="H24" s="998"/>
      <c r="I24" s="998"/>
      <c r="J24" s="289"/>
      <c r="K24" s="103"/>
      <c r="L24" s="103"/>
    </row>
    <row r="25" spans="1:19" s="119" customFormat="1" ht="45" customHeight="1">
      <c r="A25" s="271"/>
      <c r="B25" s="1047" t="s">
        <v>1890</v>
      </c>
      <c r="C25" s="1049"/>
      <c r="D25" s="1049"/>
      <c r="E25" s="1049"/>
      <c r="F25" s="1049"/>
      <c r="G25" s="1049"/>
      <c r="H25" s="1049"/>
      <c r="I25" s="1049"/>
      <c r="J25" s="289"/>
      <c r="K25" s="103"/>
      <c r="L25" s="103"/>
    </row>
    <row r="26" spans="1:19" s="119" customFormat="1" ht="39.6" customHeight="1">
      <c r="A26" s="103"/>
      <c r="B26" s="276"/>
      <c r="C26" s="276"/>
      <c r="D26" s="582"/>
      <c r="E26" s="276"/>
      <c r="F26" s="276"/>
      <c r="G26" s="276"/>
      <c r="H26" s="276"/>
      <c r="I26" s="276"/>
      <c r="J26" s="103"/>
      <c r="K26" s="103"/>
      <c r="L26" s="103"/>
    </row>
    <row r="27" spans="1:19" s="119" customFormat="1" ht="24.6" customHeight="1">
      <c r="A27" s="271"/>
      <c r="B27" s="1003" t="s">
        <v>1149</v>
      </c>
      <c r="C27" s="1004"/>
      <c r="D27" s="584" t="s">
        <v>1077</v>
      </c>
      <c r="E27" s="198" t="s">
        <v>1078</v>
      </c>
      <c r="F27" s="198" t="s">
        <v>1660</v>
      </c>
      <c r="G27" s="198" t="s">
        <v>1079</v>
      </c>
      <c r="H27" s="198" t="s">
        <v>1080</v>
      </c>
      <c r="I27" s="198" t="s">
        <v>1081</v>
      </c>
      <c r="J27" s="289"/>
      <c r="K27" s="103"/>
      <c r="L27" s="103"/>
    </row>
    <row r="28" spans="1:19" s="119" customFormat="1" ht="30" customHeight="1">
      <c r="A28" s="271"/>
      <c r="B28" s="654" t="s">
        <v>1647</v>
      </c>
      <c r="C28" s="655"/>
      <c r="D28" s="586">
        <v>0</v>
      </c>
      <c r="E28" s="278">
        <v>137</v>
      </c>
      <c r="F28" s="278">
        <v>137</v>
      </c>
      <c r="G28" s="278">
        <v>309</v>
      </c>
      <c r="H28" s="278">
        <v>310</v>
      </c>
      <c r="I28" s="278">
        <v>313</v>
      </c>
      <c r="J28" s="289"/>
      <c r="K28" s="103"/>
      <c r="L28" s="103"/>
    </row>
    <row r="29" spans="1:19" s="119" customFormat="1" ht="15.75" customHeight="1">
      <c r="A29" s="271"/>
      <c r="B29" s="645" t="s">
        <v>1636</v>
      </c>
      <c r="C29" s="998"/>
      <c r="D29" s="998"/>
      <c r="E29" s="998"/>
      <c r="F29" s="998"/>
      <c r="G29" s="998"/>
      <c r="H29" s="998"/>
      <c r="I29" s="998"/>
      <c r="J29" s="289"/>
      <c r="K29" s="103"/>
      <c r="L29" s="103"/>
    </row>
    <row r="30" spans="1:19" s="119" customFormat="1" ht="27" customHeight="1">
      <c r="A30" s="271"/>
      <c r="B30" s="1050" t="s">
        <v>1887</v>
      </c>
      <c r="C30" s="1048"/>
      <c r="D30" s="1048"/>
      <c r="E30" s="1048"/>
      <c r="F30" s="1048"/>
      <c r="G30" s="1048"/>
      <c r="H30" s="1048"/>
      <c r="I30" s="1048"/>
      <c r="J30" s="289"/>
      <c r="K30" s="103"/>
      <c r="L30" s="103"/>
    </row>
    <row r="31" spans="1:19" s="119" customFormat="1" ht="43.9" customHeight="1">
      <c r="A31" s="103"/>
      <c r="B31" s="276"/>
      <c r="C31" s="276"/>
      <c r="D31" s="582"/>
      <c r="E31" s="276"/>
      <c r="F31" s="276"/>
      <c r="G31" s="572"/>
      <c r="H31" s="572"/>
      <c r="I31" s="572"/>
      <c r="J31" s="103"/>
      <c r="L31" s="103"/>
    </row>
    <row r="32" spans="1:19" s="119" customFormat="1" ht="22.9" customHeight="1">
      <c r="A32" s="271"/>
      <c r="B32" s="1003" t="s">
        <v>1150</v>
      </c>
      <c r="C32" s="1004"/>
      <c r="D32" s="584" t="s">
        <v>1077</v>
      </c>
      <c r="E32" s="198" t="s">
        <v>1078</v>
      </c>
      <c r="F32" s="198" t="s">
        <v>1660</v>
      </c>
      <c r="G32" s="198" t="s">
        <v>1079</v>
      </c>
      <c r="H32" s="198" t="s">
        <v>1080</v>
      </c>
      <c r="I32" s="198" t="s">
        <v>1081</v>
      </c>
      <c r="J32" s="289"/>
      <c r="K32" s="573"/>
      <c r="L32" s="103"/>
    </row>
    <row r="33" spans="1:12" s="119" customFormat="1" ht="30" customHeight="1">
      <c r="A33" s="271"/>
      <c r="B33" s="654" t="s">
        <v>1647</v>
      </c>
      <c r="C33" s="655"/>
      <c r="D33" s="586">
        <f>1410/1000</f>
        <v>1.41</v>
      </c>
      <c r="E33" s="277">
        <v>11.4</v>
      </c>
      <c r="F33" s="278">
        <f>D33+E33</f>
        <v>12.81</v>
      </c>
      <c r="G33" s="277">
        <v>55.2</v>
      </c>
      <c r="H33" s="277">
        <v>42.3</v>
      </c>
      <c r="I33" s="277">
        <v>41.3</v>
      </c>
      <c r="J33" s="289"/>
      <c r="K33" s="573"/>
      <c r="L33" s="103"/>
    </row>
    <row r="34" spans="1:12" s="119" customFormat="1" ht="15.75" customHeight="1">
      <c r="A34" s="271"/>
      <c r="B34" s="645" t="s">
        <v>1636</v>
      </c>
      <c r="C34" s="998"/>
      <c r="D34" s="998"/>
      <c r="E34" s="998"/>
      <c r="F34" s="998"/>
      <c r="G34" s="998"/>
      <c r="H34" s="998"/>
      <c r="I34" s="998"/>
      <c r="J34" s="289"/>
      <c r="K34" s="573"/>
      <c r="L34" s="103"/>
    </row>
    <row r="35" spans="1:12" s="119" customFormat="1" ht="45.75" customHeight="1">
      <c r="A35" s="271"/>
      <c r="B35" s="1047" t="s">
        <v>1917</v>
      </c>
      <c r="C35" s="1049"/>
      <c r="D35" s="1049"/>
      <c r="E35" s="1049"/>
      <c r="F35" s="1049"/>
      <c r="G35" s="1049"/>
      <c r="H35" s="1049"/>
      <c r="I35" s="1049"/>
      <c r="J35" s="289"/>
      <c r="K35" s="573"/>
      <c r="L35" s="103"/>
    </row>
    <row r="36" spans="1:12" s="119" customFormat="1" ht="15.75" customHeight="1">
      <c r="A36" s="103"/>
      <c r="B36" s="276"/>
      <c r="C36" s="276"/>
      <c r="D36" s="582"/>
      <c r="E36" s="276"/>
      <c r="F36" s="276"/>
      <c r="G36" s="276"/>
      <c r="H36" s="276"/>
      <c r="I36" s="276"/>
      <c r="J36" s="103"/>
      <c r="K36" s="573"/>
      <c r="L36" s="103"/>
    </row>
    <row r="37" spans="1:12" s="119" customFormat="1" ht="15.75" customHeight="1">
      <c r="A37" s="271"/>
      <c r="B37" s="1003" t="s">
        <v>1151</v>
      </c>
      <c r="C37" s="1004"/>
      <c r="D37" s="584" t="s">
        <v>1077</v>
      </c>
      <c r="E37" s="198" t="s">
        <v>1078</v>
      </c>
      <c r="F37" s="198" t="s">
        <v>1660</v>
      </c>
      <c r="G37" s="198" t="s">
        <v>1079</v>
      </c>
      <c r="H37" s="198" t="s">
        <v>1080</v>
      </c>
      <c r="I37" s="198" t="s">
        <v>1081</v>
      </c>
      <c r="J37" s="289"/>
      <c r="K37" s="573"/>
      <c r="L37" s="103"/>
    </row>
    <row r="38" spans="1:12" s="119" customFormat="1" ht="30" customHeight="1">
      <c r="A38" s="271"/>
      <c r="B38" s="654" t="s">
        <v>1647</v>
      </c>
      <c r="C38" s="655"/>
      <c r="D38" s="586">
        <v>0</v>
      </c>
      <c r="E38" s="278">
        <v>20</v>
      </c>
      <c r="F38" s="278">
        <v>20</v>
      </c>
      <c r="G38" s="278">
        <v>50</v>
      </c>
      <c r="H38" s="278">
        <v>20</v>
      </c>
      <c r="I38" s="278">
        <v>0</v>
      </c>
      <c r="J38" s="289"/>
      <c r="K38" s="573"/>
      <c r="L38" s="103"/>
    </row>
    <row r="39" spans="1:12" s="119" customFormat="1" ht="15.75" customHeight="1">
      <c r="A39" s="271"/>
      <c r="B39" s="645" t="s">
        <v>1636</v>
      </c>
      <c r="C39" s="998"/>
      <c r="D39" s="998"/>
      <c r="E39" s="998"/>
      <c r="F39" s="998"/>
      <c r="G39" s="998"/>
      <c r="H39" s="998"/>
      <c r="I39" s="998"/>
      <c r="J39" s="289"/>
      <c r="K39" s="573"/>
      <c r="L39" s="103"/>
    </row>
    <row r="40" spans="1:12" s="119" customFormat="1" ht="87" customHeight="1">
      <c r="A40" s="271"/>
      <c r="B40" s="1047" t="s">
        <v>1918</v>
      </c>
      <c r="C40" s="1048"/>
      <c r="D40" s="1048"/>
      <c r="E40" s="1048"/>
      <c r="F40" s="1048"/>
      <c r="G40" s="1048"/>
      <c r="H40" s="1048"/>
      <c r="I40" s="1048"/>
      <c r="J40" s="289"/>
      <c r="K40" s="573"/>
      <c r="L40" s="103"/>
    </row>
    <row r="41" spans="1:12" s="119" customFormat="1" ht="15.75" customHeight="1">
      <c r="A41" s="103"/>
      <c r="B41" s="276"/>
      <c r="C41" s="276"/>
      <c r="D41" s="582"/>
      <c r="E41" s="276"/>
      <c r="F41" s="276"/>
      <c r="G41" s="276"/>
      <c r="H41" s="276"/>
      <c r="I41" s="276"/>
      <c r="J41" s="103"/>
      <c r="K41" s="573"/>
      <c r="L41" s="103"/>
    </row>
    <row r="42" spans="1:12" s="119" customFormat="1" ht="15.75" hidden="1" customHeight="1">
      <c r="A42" s="271"/>
      <c r="B42" s="1003" t="s">
        <v>1152</v>
      </c>
      <c r="C42" s="1004"/>
      <c r="D42" s="584" t="s">
        <v>1077</v>
      </c>
      <c r="E42" s="198" t="s">
        <v>1078</v>
      </c>
      <c r="F42" s="198" t="s">
        <v>1660</v>
      </c>
      <c r="G42" s="198" t="s">
        <v>1079</v>
      </c>
      <c r="H42" s="198" t="s">
        <v>1080</v>
      </c>
      <c r="I42" s="198" t="s">
        <v>1081</v>
      </c>
      <c r="J42" s="289"/>
      <c r="K42" s="573"/>
      <c r="L42" s="103"/>
    </row>
    <row r="43" spans="1:12" s="119" customFormat="1" ht="30" hidden="1" customHeight="1">
      <c r="A43" s="271"/>
      <c r="B43" s="654" t="s">
        <v>1647</v>
      </c>
      <c r="C43" s="655"/>
      <c r="D43" s="586"/>
      <c r="E43" s="278"/>
      <c r="F43" s="454">
        <f>+E43+D43</f>
        <v>0</v>
      </c>
      <c r="G43" s="278"/>
      <c r="H43" s="278"/>
      <c r="I43" s="278"/>
      <c r="J43" s="289"/>
      <c r="K43" s="573"/>
      <c r="L43" s="103"/>
    </row>
    <row r="44" spans="1:12" s="119" customFormat="1" ht="15.75" hidden="1" customHeight="1">
      <c r="A44" s="271"/>
      <c r="B44" s="645" t="s">
        <v>1636</v>
      </c>
      <c r="C44" s="998"/>
      <c r="D44" s="998"/>
      <c r="E44" s="998"/>
      <c r="F44" s="998"/>
      <c r="G44" s="998"/>
      <c r="H44" s="998"/>
      <c r="I44" s="998"/>
      <c r="J44" s="289"/>
      <c r="K44" s="573"/>
      <c r="L44" s="103"/>
    </row>
    <row r="45" spans="1:12" s="119" customFormat="1" ht="15.75" hidden="1" customHeight="1">
      <c r="A45" s="271"/>
      <c r="B45" s="1028"/>
      <c r="C45" s="1029"/>
      <c r="D45" s="1029"/>
      <c r="E45" s="1029"/>
      <c r="F45" s="1029"/>
      <c r="G45" s="1029"/>
      <c r="H45" s="1029"/>
      <c r="I45" s="1029"/>
      <c r="J45" s="289"/>
      <c r="K45" s="573"/>
      <c r="L45" s="103"/>
    </row>
    <row r="46" spans="1:12" s="119" customFormat="1" ht="15.75" hidden="1" customHeight="1">
      <c r="A46" s="103"/>
      <c r="B46" s="276"/>
      <c r="C46" s="276"/>
      <c r="D46" s="582"/>
      <c r="E46" s="276"/>
      <c r="F46" s="276"/>
      <c r="G46" s="276"/>
      <c r="H46" s="276"/>
      <c r="I46" s="276"/>
      <c r="J46" s="103"/>
      <c r="K46" s="573"/>
      <c r="L46" s="103"/>
    </row>
    <row r="47" spans="1:12" s="119" customFormat="1" ht="15.75" hidden="1" customHeight="1">
      <c r="A47" s="271"/>
      <c r="B47" s="1003" t="s">
        <v>1153</v>
      </c>
      <c r="C47" s="1004"/>
      <c r="D47" s="584" t="s">
        <v>1077</v>
      </c>
      <c r="E47" s="198" t="s">
        <v>1078</v>
      </c>
      <c r="F47" s="198" t="s">
        <v>1660</v>
      </c>
      <c r="G47" s="198" t="s">
        <v>1079</v>
      </c>
      <c r="H47" s="198" t="s">
        <v>1080</v>
      </c>
      <c r="I47" s="198" t="s">
        <v>1081</v>
      </c>
      <c r="J47" s="289"/>
      <c r="K47" s="573"/>
      <c r="L47" s="103"/>
    </row>
    <row r="48" spans="1:12" s="119" customFormat="1" ht="30" hidden="1" customHeight="1">
      <c r="A48" s="271"/>
      <c r="B48" s="654" t="s">
        <v>1647</v>
      </c>
      <c r="C48" s="655"/>
      <c r="D48" s="586"/>
      <c r="E48" s="278"/>
      <c r="F48" s="454">
        <f>+E48+D48</f>
        <v>0</v>
      </c>
      <c r="G48" s="278"/>
      <c r="H48" s="278"/>
      <c r="I48" s="278"/>
      <c r="J48" s="289"/>
      <c r="K48" s="573"/>
      <c r="L48" s="103"/>
    </row>
    <row r="49" spans="1:12" s="119" customFormat="1" ht="15.75" hidden="1" customHeight="1">
      <c r="A49" s="271"/>
      <c r="B49" s="645" t="s">
        <v>1636</v>
      </c>
      <c r="C49" s="998"/>
      <c r="D49" s="998"/>
      <c r="E49" s="998"/>
      <c r="F49" s="998"/>
      <c r="G49" s="998"/>
      <c r="H49" s="998"/>
      <c r="I49" s="998"/>
      <c r="J49" s="289"/>
      <c r="K49" s="573"/>
      <c r="L49" s="103"/>
    </row>
    <row r="50" spans="1:12" s="119" customFormat="1" ht="15.75" hidden="1" customHeight="1">
      <c r="A50" s="271"/>
      <c r="B50" s="1028"/>
      <c r="C50" s="1029"/>
      <c r="D50" s="1029"/>
      <c r="E50" s="1029"/>
      <c r="F50" s="1029"/>
      <c r="G50" s="1029"/>
      <c r="H50" s="1029"/>
      <c r="I50" s="1029"/>
      <c r="J50" s="289"/>
      <c r="K50" s="573"/>
      <c r="L50" s="103"/>
    </row>
    <row r="51" spans="1:12" s="119" customFormat="1" ht="15.75" hidden="1" customHeight="1">
      <c r="A51" s="103"/>
      <c r="B51" s="276"/>
      <c r="C51" s="276"/>
      <c r="D51" s="582"/>
      <c r="E51" s="276"/>
      <c r="F51" s="276"/>
      <c r="G51" s="276"/>
      <c r="H51" s="276"/>
      <c r="I51" s="276"/>
      <c r="J51" s="103"/>
      <c r="K51" s="573"/>
      <c r="L51" s="103"/>
    </row>
    <row r="52" spans="1:12" s="119" customFormat="1" ht="15.75" hidden="1" customHeight="1">
      <c r="A52" s="271"/>
      <c r="B52" s="1003" t="s">
        <v>1154</v>
      </c>
      <c r="C52" s="1004"/>
      <c r="D52" s="584" t="s">
        <v>1077</v>
      </c>
      <c r="E52" s="198" t="s">
        <v>1078</v>
      </c>
      <c r="F52" s="198" t="s">
        <v>1660</v>
      </c>
      <c r="G52" s="198" t="s">
        <v>1079</v>
      </c>
      <c r="H52" s="198" t="s">
        <v>1080</v>
      </c>
      <c r="I52" s="198" t="s">
        <v>1081</v>
      </c>
      <c r="J52" s="289"/>
      <c r="K52" s="573"/>
      <c r="L52" s="103"/>
    </row>
    <row r="53" spans="1:12" s="119" customFormat="1" ht="30" hidden="1" customHeight="1">
      <c r="A53" s="271"/>
      <c r="B53" s="654" t="s">
        <v>1647</v>
      </c>
      <c r="C53" s="655"/>
      <c r="D53" s="586"/>
      <c r="E53" s="278"/>
      <c r="F53" s="454">
        <f>+E53+D53</f>
        <v>0</v>
      </c>
      <c r="G53" s="278"/>
      <c r="H53" s="278"/>
      <c r="I53" s="278"/>
      <c r="J53" s="289"/>
      <c r="K53" s="573"/>
      <c r="L53" s="103"/>
    </row>
    <row r="54" spans="1:12" s="119" customFormat="1" ht="15.75" hidden="1" customHeight="1">
      <c r="A54" s="271"/>
      <c r="B54" s="645" t="s">
        <v>1636</v>
      </c>
      <c r="C54" s="998"/>
      <c r="D54" s="998"/>
      <c r="E54" s="998"/>
      <c r="F54" s="998"/>
      <c r="G54" s="998"/>
      <c r="H54" s="998"/>
      <c r="I54" s="998"/>
      <c r="J54" s="289"/>
      <c r="K54" s="573"/>
      <c r="L54" s="103"/>
    </row>
    <row r="55" spans="1:12" s="119" customFormat="1" ht="15.75" hidden="1" customHeight="1">
      <c r="A55" s="271"/>
      <c r="B55" s="1028"/>
      <c r="C55" s="1029"/>
      <c r="D55" s="1029"/>
      <c r="E55" s="1029"/>
      <c r="F55" s="1029"/>
      <c r="G55" s="1029"/>
      <c r="H55" s="1029"/>
      <c r="I55" s="1029"/>
      <c r="J55" s="289"/>
      <c r="K55" s="573"/>
      <c r="L55" s="103"/>
    </row>
    <row r="56" spans="1:12" s="119" customFormat="1" ht="15.75" hidden="1" customHeight="1">
      <c r="A56" s="103"/>
      <c r="B56" s="276"/>
      <c r="C56" s="276"/>
      <c r="D56" s="582"/>
      <c r="E56" s="276"/>
      <c r="F56" s="276"/>
      <c r="G56" s="276"/>
      <c r="H56" s="276"/>
      <c r="I56" s="276"/>
      <c r="J56" s="103"/>
      <c r="K56" s="573"/>
      <c r="L56" s="103"/>
    </row>
    <row r="57" spans="1:12" s="119" customFormat="1" ht="15.75" hidden="1" customHeight="1">
      <c r="A57" s="271"/>
      <c r="B57" s="1003" t="s">
        <v>1155</v>
      </c>
      <c r="C57" s="1004"/>
      <c r="D57" s="584" t="s">
        <v>1077</v>
      </c>
      <c r="E57" s="198" t="s">
        <v>1078</v>
      </c>
      <c r="F57" s="198" t="s">
        <v>1660</v>
      </c>
      <c r="G57" s="198" t="s">
        <v>1079</v>
      </c>
      <c r="H57" s="198" t="s">
        <v>1080</v>
      </c>
      <c r="I57" s="198" t="s">
        <v>1081</v>
      </c>
      <c r="J57" s="289"/>
      <c r="K57" s="573"/>
      <c r="L57" s="103"/>
    </row>
    <row r="58" spans="1:12" s="119" customFormat="1" ht="30" hidden="1" customHeight="1">
      <c r="A58" s="271"/>
      <c r="B58" s="654" t="s">
        <v>1647</v>
      </c>
      <c r="C58" s="655"/>
      <c r="D58" s="586"/>
      <c r="E58" s="278"/>
      <c r="F58" s="454">
        <f>+E58+D58</f>
        <v>0</v>
      </c>
      <c r="G58" s="278"/>
      <c r="H58" s="278"/>
      <c r="I58" s="278"/>
      <c r="J58" s="289"/>
      <c r="K58" s="573"/>
      <c r="L58" s="103"/>
    </row>
    <row r="59" spans="1:12" s="119" customFormat="1" ht="15.75" hidden="1" customHeight="1">
      <c r="A59" s="271"/>
      <c r="B59" s="645" t="s">
        <v>1636</v>
      </c>
      <c r="C59" s="998"/>
      <c r="D59" s="998"/>
      <c r="E59" s="998"/>
      <c r="F59" s="998"/>
      <c r="G59" s="998"/>
      <c r="H59" s="998"/>
      <c r="I59" s="998"/>
      <c r="J59" s="289"/>
      <c r="K59" s="573"/>
      <c r="L59" s="103"/>
    </row>
    <row r="60" spans="1:12" s="119" customFormat="1" ht="15.75" hidden="1" customHeight="1">
      <c r="A60" s="271"/>
      <c r="B60" s="1028"/>
      <c r="C60" s="1029"/>
      <c r="D60" s="1029"/>
      <c r="E60" s="1029"/>
      <c r="F60" s="1029"/>
      <c r="G60" s="1029"/>
      <c r="H60" s="1029"/>
      <c r="I60" s="1029"/>
      <c r="J60" s="289"/>
      <c r="K60" s="573"/>
      <c r="L60" s="103"/>
    </row>
    <row r="61" spans="1:12" s="119" customFormat="1" ht="15.75" hidden="1" customHeight="1">
      <c r="A61" s="103"/>
      <c r="B61" s="276"/>
      <c r="C61" s="276"/>
      <c r="D61" s="582"/>
      <c r="E61" s="276"/>
      <c r="F61" s="276"/>
      <c r="G61" s="276"/>
      <c r="H61" s="276"/>
      <c r="I61" s="276"/>
      <c r="J61" s="103"/>
      <c r="K61" s="573"/>
      <c r="L61" s="103"/>
    </row>
    <row r="62" spans="1:12" s="119" customFormat="1" ht="15.75" hidden="1" customHeight="1">
      <c r="A62" s="271"/>
      <c r="B62" s="1003" t="s">
        <v>1156</v>
      </c>
      <c r="C62" s="1004"/>
      <c r="D62" s="584" t="s">
        <v>1077</v>
      </c>
      <c r="E62" s="198" t="s">
        <v>1078</v>
      </c>
      <c r="F62" s="198" t="s">
        <v>1660</v>
      </c>
      <c r="G62" s="198" t="s">
        <v>1079</v>
      </c>
      <c r="H62" s="198" t="s">
        <v>1080</v>
      </c>
      <c r="I62" s="198" t="s">
        <v>1081</v>
      </c>
      <c r="J62" s="289"/>
      <c r="K62" s="573"/>
      <c r="L62" s="103"/>
    </row>
    <row r="63" spans="1:12" s="119" customFormat="1" ht="30" hidden="1" customHeight="1">
      <c r="A63" s="271"/>
      <c r="B63" s="654" t="s">
        <v>1647</v>
      </c>
      <c r="C63" s="655"/>
      <c r="D63" s="586"/>
      <c r="E63" s="278"/>
      <c r="F63" s="454">
        <f>+E63+D63</f>
        <v>0</v>
      </c>
      <c r="G63" s="278"/>
      <c r="H63" s="278"/>
      <c r="I63" s="278"/>
      <c r="J63" s="289"/>
      <c r="K63" s="573"/>
      <c r="L63" s="103"/>
    </row>
    <row r="64" spans="1:12" s="119" customFormat="1" ht="15.75" hidden="1" customHeight="1">
      <c r="A64" s="271"/>
      <c r="B64" s="645" t="s">
        <v>1636</v>
      </c>
      <c r="C64" s="998"/>
      <c r="D64" s="998"/>
      <c r="E64" s="998"/>
      <c r="F64" s="998"/>
      <c r="G64" s="998"/>
      <c r="H64" s="998"/>
      <c r="I64" s="998"/>
      <c r="J64" s="289"/>
      <c r="K64" s="573"/>
      <c r="L64" s="103"/>
    </row>
    <row r="65" spans="1:13" s="119" customFormat="1" ht="15.75" hidden="1" customHeight="1">
      <c r="A65" s="271"/>
      <c r="B65" s="1028"/>
      <c r="C65" s="1029"/>
      <c r="D65" s="1029"/>
      <c r="E65" s="1029"/>
      <c r="F65" s="1029"/>
      <c r="G65" s="1029"/>
      <c r="H65" s="1029"/>
      <c r="I65" s="1029"/>
      <c r="J65" s="289"/>
      <c r="K65" s="573"/>
      <c r="L65" s="103"/>
    </row>
    <row r="66" spans="1:13" s="119" customFormat="1" ht="15.75" hidden="1" customHeight="1">
      <c r="A66" s="103"/>
      <c r="B66" s="276"/>
      <c r="C66" s="276"/>
      <c r="D66" s="582"/>
      <c r="E66" s="276"/>
      <c r="F66" s="276"/>
      <c r="G66" s="276"/>
      <c r="H66" s="276"/>
      <c r="I66" s="276"/>
      <c r="J66" s="103"/>
      <c r="K66" s="573"/>
      <c r="L66" s="103"/>
    </row>
    <row r="67" spans="1:13" s="119" customFormat="1" ht="15.75" customHeight="1">
      <c r="A67" s="103"/>
      <c r="D67" s="584" t="s">
        <v>1077</v>
      </c>
      <c r="E67" s="198" t="s">
        <v>1078</v>
      </c>
      <c r="F67" s="198" t="s">
        <v>1660</v>
      </c>
      <c r="G67" s="198" t="s">
        <v>1079</v>
      </c>
      <c r="H67" s="198" t="s">
        <v>1080</v>
      </c>
      <c r="I67" s="198" t="s">
        <v>1081</v>
      </c>
      <c r="J67" s="289"/>
      <c r="K67" s="573" t="s">
        <v>1889</v>
      </c>
      <c r="L67" s="103"/>
    </row>
    <row r="68" spans="1:13" s="119" customFormat="1" ht="29.25" customHeight="1">
      <c r="A68" s="271"/>
      <c r="B68" s="1003" t="s">
        <v>1651</v>
      </c>
      <c r="C68" s="1004"/>
      <c r="D68" s="597">
        <f>D63+D58+D53+D48+D43+D38+D33+D28+D23+D18</f>
        <v>1.41</v>
      </c>
      <c r="E68" s="609">
        <f>E63+E58+E53+E48+E43+E38+E33+E28+E23+E18</f>
        <v>1063.4000000000001</v>
      </c>
      <c r="F68" s="597">
        <f>F38+F33+F28+F23+F18</f>
        <v>1064.81</v>
      </c>
      <c r="G68" s="597">
        <f>G38+G33+G28+G23+H18</f>
        <v>2582.1999999999998</v>
      </c>
      <c r="H68" s="597">
        <f>H38+H33+H28+H23+I18</f>
        <v>2976.3</v>
      </c>
      <c r="I68" s="597">
        <f>I38+I33+I28+I23+I18</f>
        <v>2957.3</v>
      </c>
      <c r="J68" s="289"/>
      <c r="K68" s="574">
        <f>(I68+H68+G68+F68)/3</f>
        <v>3193.5366666666664</v>
      </c>
      <c r="L68" s="103"/>
      <c r="M68" s="525"/>
    </row>
    <row r="69" spans="1:13" s="119" customFormat="1" ht="15.75" customHeight="1">
      <c r="A69" s="103"/>
      <c r="B69" s="276"/>
      <c r="C69" s="276"/>
      <c r="D69" s="582"/>
      <c r="E69" s="276"/>
      <c r="F69" s="276"/>
      <c r="G69" s="276"/>
      <c r="H69" s="276"/>
      <c r="I69" s="276"/>
      <c r="J69" s="103"/>
      <c r="K69" s="103"/>
      <c r="L69" s="103"/>
    </row>
    <row r="70" spans="1:13" s="119" customFormat="1" ht="15.75" customHeight="1">
      <c r="A70" s="103"/>
      <c r="B70" s="76" t="s">
        <v>1638</v>
      </c>
      <c r="D70" s="580"/>
      <c r="E70" s="118"/>
      <c r="F70" s="118"/>
      <c r="G70" s="118"/>
      <c r="H70" s="118"/>
      <c r="I70" s="118"/>
    </row>
    <row r="71" spans="1:13" s="119" customFormat="1" ht="15.75" customHeight="1">
      <c r="A71" s="103"/>
      <c r="B71" s="118"/>
      <c r="C71" s="118"/>
      <c r="D71" s="580"/>
      <c r="E71" s="118"/>
      <c r="F71" s="118"/>
      <c r="G71" s="118"/>
      <c r="H71" s="118"/>
      <c r="I71" s="118"/>
      <c r="J71" s="103"/>
      <c r="K71" s="103"/>
      <c r="L71" s="103"/>
    </row>
    <row r="72" spans="1:13" s="119" customFormat="1" ht="30" hidden="1" customHeight="1">
      <c r="A72" s="271"/>
      <c r="B72" s="1044" t="s">
        <v>1639</v>
      </c>
      <c r="C72" s="1045"/>
      <c r="D72" s="1045"/>
      <c r="E72" s="1045"/>
      <c r="F72" s="1045"/>
      <c r="G72" s="1045"/>
      <c r="H72" s="1045"/>
      <c r="I72" s="1046"/>
      <c r="J72" s="103"/>
      <c r="K72" s="103"/>
      <c r="L72" s="103"/>
    </row>
    <row r="73" spans="1:13" hidden="1">
      <c r="B73" s="288"/>
      <c r="C73" s="288"/>
      <c r="D73" s="587"/>
      <c r="E73" s="288"/>
      <c r="F73" s="288"/>
      <c r="G73" s="288"/>
      <c r="H73" s="288"/>
      <c r="I73" s="288"/>
    </row>
    <row r="74" spans="1:13" hidden="1">
      <c r="B74" s="1030" t="s">
        <v>240</v>
      </c>
      <c r="C74" s="1031"/>
      <c r="D74" s="584" t="s">
        <v>1077</v>
      </c>
      <c r="E74" s="198" t="s">
        <v>1078</v>
      </c>
      <c r="F74" s="198" t="s">
        <v>1660</v>
      </c>
      <c r="G74" s="198" t="s">
        <v>1079</v>
      </c>
      <c r="H74" s="198" t="s">
        <v>1080</v>
      </c>
      <c r="I74" s="198" t="s">
        <v>1081</v>
      </c>
      <c r="J74" s="163"/>
    </row>
    <row r="75" spans="1:13" hidden="1">
      <c r="B75" s="645" t="s">
        <v>1160</v>
      </c>
      <c r="C75" s="998"/>
      <c r="D75" s="585"/>
      <c r="E75" s="521"/>
      <c r="F75" s="521"/>
      <c r="G75" s="521"/>
      <c r="H75" s="521"/>
      <c r="I75" s="521"/>
      <c r="J75" s="163"/>
    </row>
    <row r="76" spans="1:13" hidden="1">
      <c r="B76" s="645" t="s">
        <v>1161</v>
      </c>
      <c r="C76" s="998"/>
      <c r="D76" s="585"/>
      <c r="E76" s="521"/>
      <c r="F76" s="521"/>
      <c r="G76" s="521"/>
      <c r="H76" s="521"/>
      <c r="I76" s="521"/>
      <c r="J76" s="163"/>
    </row>
    <row r="77" spans="1:13" hidden="1">
      <c r="B77" s="645" t="s">
        <v>1162</v>
      </c>
      <c r="C77" s="998"/>
      <c r="D77" s="585"/>
      <c r="E77" s="521"/>
      <c r="F77" s="521"/>
      <c r="G77" s="521"/>
      <c r="H77" s="521"/>
      <c r="I77" s="521"/>
      <c r="J77" s="163"/>
    </row>
    <row r="78" spans="1:13" hidden="1">
      <c r="B78" s="645" t="s">
        <v>1163</v>
      </c>
      <c r="C78" s="998"/>
      <c r="D78" s="585"/>
      <c r="E78" s="521"/>
      <c r="F78" s="521"/>
      <c r="G78" s="521"/>
      <c r="H78" s="521"/>
      <c r="I78" s="521"/>
      <c r="J78" s="163"/>
    </row>
    <row r="79" spans="1:13" hidden="1">
      <c r="B79" s="645" t="s">
        <v>1164</v>
      </c>
      <c r="C79" s="998"/>
      <c r="D79" s="585"/>
      <c r="E79" s="521"/>
      <c r="F79" s="521"/>
      <c r="G79" s="521"/>
      <c r="H79" s="521"/>
      <c r="I79" s="521"/>
      <c r="J79" s="163"/>
    </row>
    <row r="80" spans="1:13" hidden="1">
      <c r="B80" s="645" t="s">
        <v>1165</v>
      </c>
      <c r="C80" s="998"/>
      <c r="D80" s="585"/>
      <c r="E80" s="521"/>
      <c r="F80" s="521"/>
      <c r="G80" s="521"/>
      <c r="H80" s="521"/>
      <c r="I80" s="521"/>
      <c r="J80" s="163"/>
    </row>
    <row r="81" spans="1:12" hidden="1">
      <c r="B81" s="1003" t="s">
        <v>1637</v>
      </c>
      <c r="C81" s="1004"/>
      <c r="D81" s="588">
        <f>D75+D77+D78+D79+D80</f>
        <v>0</v>
      </c>
      <c r="E81" s="454">
        <f t="shared" ref="E81:I81" si="0">E75+E77+E78+E79+E80</f>
        <v>0</v>
      </c>
      <c r="F81" s="454">
        <f t="shared" ref="F81" si="1">+E81+D81</f>
        <v>0</v>
      </c>
      <c r="G81" s="454">
        <f t="shared" si="0"/>
        <v>0</v>
      </c>
      <c r="H81" s="454">
        <f t="shared" si="0"/>
        <v>0</v>
      </c>
      <c r="I81" s="454">
        <f t="shared" si="0"/>
        <v>0</v>
      </c>
      <c r="J81" s="163"/>
    </row>
    <row r="82" spans="1:12" hidden="1">
      <c r="B82" s="288"/>
      <c r="C82" s="288"/>
      <c r="D82" s="587"/>
      <c r="E82" s="288"/>
      <c r="F82" s="288"/>
      <c r="G82" s="288"/>
      <c r="H82" s="288"/>
      <c r="I82" s="288"/>
    </row>
    <row r="83" spans="1:12" hidden="1">
      <c r="B83" s="1030" t="s">
        <v>240</v>
      </c>
      <c r="C83" s="1031"/>
      <c r="D83" s="584" t="s">
        <v>1077</v>
      </c>
      <c r="E83" s="198" t="s">
        <v>1078</v>
      </c>
      <c r="F83" s="198" t="s">
        <v>1660</v>
      </c>
      <c r="G83" s="198" t="s">
        <v>1079</v>
      </c>
      <c r="H83" s="198" t="s">
        <v>1080</v>
      </c>
      <c r="I83" s="198" t="s">
        <v>1081</v>
      </c>
      <c r="J83" s="163"/>
    </row>
    <row r="84" spans="1:12" hidden="1">
      <c r="B84" s="645" t="s">
        <v>1160</v>
      </c>
      <c r="C84" s="998"/>
      <c r="D84" s="586"/>
      <c r="E84" s="278"/>
      <c r="F84" s="454">
        <f>+E84+D84</f>
        <v>0</v>
      </c>
      <c r="G84" s="278"/>
      <c r="H84" s="278"/>
      <c r="I84" s="278"/>
      <c r="J84" s="163"/>
    </row>
    <row r="85" spans="1:12" hidden="1">
      <c r="B85" s="645" t="s">
        <v>1161</v>
      </c>
      <c r="C85" s="998"/>
      <c r="D85" s="586"/>
      <c r="E85" s="278"/>
      <c r="F85" s="454">
        <f t="shared" ref="F85:F90" si="2">+E85+D85</f>
        <v>0</v>
      </c>
      <c r="G85" s="278"/>
      <c r="H85" s="278"/>
      <c r="I85" s="278"/>
      <c r="J85" s="163"/>
    </row>
    <row r="86" spans="1:12" hidden="1">
      <c r="B86" s="645" t="s">
        <v>1162</v>
      </c>
      <c r="C86" s="998"/>
      <c r="D86" s="586"/>
      <c r="E86" s="278"/>
      <c r="F86" s="454">
        <f t="shared" si="2"/>
        <v>0</v>
      </c>
      <c r="G86" s="278"/>
      <c r="H86" s="278"/>
      <c r="I86" s="278"/>
      <c r="J86" s="163"/>
    </row>
    <row r="87" spans="1:12" hidden="1">
      <c r="B87" s="645" t="s">
        <v>1163</v>
      </c>
      <c r="C87" s="998"/>
      <c r="D87" s="586"/>
      <c r="E87" s="278"/>
      <c r="F87" s="454">
        <f t="shared" si="2"/>
        <v>0</v>
      </c>
      <c r="G87" s="278"/>
      <c r="H87" s="278"/>
      <c r="I87" s="278"/>
      <c r="J87" s="163"/>
    </row>
    <row r="88" spans="1:12" hidden="1">
      <c r="B88" s="645" t="s">
        <v>1164</v>
      </c>
      <c r="C88" s="998"/>
      <c r="D88" s="586"/>
      <c r="E88" s="278"/>
      <c r="F88" s="454">
        <f t="shared" si="2"/>
        <v>0</v>
      </c>
      <c r="G88" s="278"/>
      <c r="H88" s="278"/>
      <c r="I88" s="278"/>
      <c r="J88" s="163"/>
    </row>
    <row r="89" spans="1:12" hidden="1">
      <c r="B89" s="645" t="s">
        <v>1165</v>
      </c>
      <c r="C89" s="998"/>
      <c r="D89" s="586"/>
      <c r="E89" s="278"/>
      <c r="F89" s="454">
        <f t="shared" si="2"/>
        <v>0</v>
      </c>
      <c r="G89" s="278"/>
      <c r="H89" s="278"/>
      <c r="I89" s="278"/>
      <c r="J89" s="163"/>
    </row>
    <row r="90" spans="1:12" hidden="1">
      <c r="B90" s="1003" t="s">
        <v>1637</v>
      </c>
      <c r="C90" s="1004"/>
      <c r="D90" s="588">
        <f>D84+D86+D87+D88+D89</f>
        <v>0</v>
      </c>
      <c r="E90" s="454">
        <f t="shared" ref="E90" si="3">E84+E86+E87+E88+E89</f>
        <v>0</v>
      </c>
      <c r="F90" s="454">
        <f t="shared" si="2"/>
        <v>0</v>
      </c>
      <c r="G90" s="454">
        <f t="shared" ref="G90:I90" si="4">G84+G86+G87+G88+G89</f>
        <v>0</v>
      </c>
      <c r="H90" s="454">
        <f t="shared" si="4"/>
        <v>0</v>
      </c>
      <c r="I90" s="454">
        <f t="shared" si="4"/>
        <v>0</v>
      </c>
      <c r="J90" s="163"/>
    </row>
    <row r="91" spans="1:12" hidden="1">
      <c r="B91" s="288"/>
      <c r="C91" s="288"/>
      <c r="D91" s="587"/>
      <c r="E91" s="288"/>
      <c r="F91" s="288"/>
      <c r="G91" s="288"/>
      <c r="H91" s="288"/>
      <c r="I91" s="288"/>
    </row>
    <row r="92" spans="1:12" s="119" customFormat="1" ht="15.75" hidden="1" customHeight="1">
      <c r="A92" s="103"/>
      <c r="D92" s="584" t="s">
        <v>1077</v>
      </c>
      <c r="E92" s="198" t="s">
        <v>1078</v>
      </c>
      <c r="F92" s="198" t="s">
        <v>1660</v>
      </c>
      <c r="G92" s="198" t="s">
        <v>1079</v>
      </c>
      <c r="H92" s="198" t="s">
        <v>1080</v>
      </c>
      <c r="I92" s="198" t="s">
        <v>1081</v>
      </c>
      <c r="J92" s="289"/>
      <c r="K92" s="103"/>
      <c r="L92" s="103"/>
    </row>
    <row r="93" spans="1:12" s="119" customFormat="1" ht="15.75" hidden="1" customHeight="1">
      <c r="A93" s="271"/>
      <c r="B93" s="1003" t="s">
        <v>1651</v>
      </c>
      <c r="C93" s="1004"/>
      <c r="D93" s="588">
        <f>D90+D81</f>
        <v>0</v>
      </c>
      <c r="E93" s="454">
        <f t="shared" ref="E93:I93" si="5">E90+E81</f>
        <v>0</v>
      </c>
      <c r="F93" s="454">
        <f>+E93+D93</f>
        <v>0</v>
      </c>
      <c r="G93" s="454">
        <f t="shared" si="5"/>
        <v>0</v>
      </c>
      <c r="H93" s="454">
        <f t="shared" si="5"/>
        <v>0</v>
      </c>
      <c r="I93" s="454">
        <f t="shared" si="5"/>
        <v>0</v>
      </c>
      <c r="J93" s="289"/>
      <c r="K93" s="103"/>
      <c r="L93" s="103"/>
    </row>
    <row r="94" spans="1:12" s="119" customFormat="1" ht="15.75" customHeight="1">
      <c r="A94" s="103"/>
      <c r="B94" s="276"/>
      <c r="C94" s="276"/>
      <c r="D94" s="582"/>
      <c r="E94" s="276"/>
      <c r="F94" s="276"/>
      <c r="G94" s="276"/>
      <c r="H94" s="276"/>
      <c r="I94" s="276"/>
    </row>
    <row r="95" spans="1:12" s="119" customFormat="1" ht="15.75" customHeight="1">
      <c r="A95" s="271"/>
      <c r="B95" s="1036" t="s">
        <v>23</v>
      </c>
      <c r="C95" s="1037"/>
      <c r="D95" s="1037"/>
      <c r="E95" s="1037"/>
      <c r="F95" s="1037"/>
      <c r="G95" s="1037"/>
      <c r="H95" s="1037"/>
      <c r="I95" s="1037"/>
      <c r="J95" s="275"/>
    </row>
    <row r="96" spans="1:12" s="119" customFormat="1" ht="42.75" customHeight="1">
      <c r="A96" s="271"/>
      <c r="B96" s="1038" t="s">
        <v>1926</v>
      </c>
      <c r="C96" s="1039"/>
      <c r="D96" s="1039"/>
      <c r="E96" s="1039"/>
      <c r="F96" s="1039"/>
      <c r="G96" s="1039"/>
      <c r="H96" s="1039"/>
      <c r="I96" s="1039"/>
      <c r="J96" s="275"/>
    </row>
    <row r="98" spans="1:11" ht="30" customHeight="1">
      <c r="B98" s="1040" t="s">
        <v>1640</v>
      </c>
      <c r="C98" s="1040"/>
      <c r="D98" s="1040"/>
      <c r="E98" s="1040"/>
      <c r="F98" s="1040"/>
      <c r="G98" s="1040"/>
      <c r="H98" s="1040"/>
      <c r="I98" s="1040"/>
      <c r="K98" s="608"/>
    </row>
    <row r="99" spans="1:11" ht="15" customHeight="1"/>
    <row r="100" spans="1:11" s="119" customFormat="1" ht="245.45" customHeight="1">
      <c r="A100" s="271"/>
      <c r="B100" s="1041" t="s">
        <v>1919</v>
      </c>
      <c r="C100" s="1042"/>
      <c r="D100" s="1042"/>
      <c r="E100" s="1042"/>
      <c r="F100" s="1042"/>
      <c r="G100" s="1042"/>
      <c r="H100" s="1042"/>
      <c r="I100" s="1043"/>
      <c r="J100" s="275"/>
    </row>
    <row r="101" spans="1:11" ht="27" customHeight="1"/>
  </sheetData>
  <sheetProtection formatCells="0" formatColumns="0" formatRows="0" insertHyperlinks="0"/>
  <mergeCells count="71">
    <mergeCell ref="B11:I11"/>
    <mergeCell ref="B4:G4"/>
    <mergeCell ref="H4:I4"/>
    <mergeCell ref="B5:G5"/>
    <mergeCell ref="H5:I5"/>
    <mergeCell ref="B7:C7"/>
    <mergeCell ref="B22:C22"/>
    <mergeCell ref="B23:C23"/>
    <mergeCell ref="B24:I24"/>
    <mergeCell ref="B25:I25"/>
    <mergeCell ref="B15:G15"/>
    <mergeCell ref="H15:I15"/>
    <mergeCell ref="B17:C17"/>
    <mergeCell ref="B18:C18"/>
    <mergeCell ref="B19:I19"/>
    <mergeCell ref="B20:I20"/>
    <mergeCell ref="B32:C32"/>
    <mergeCell ref="B33:C33"/>
    <mergeCell ref="B34:I34"/>
    <mergeCell ref="B35:I35"/>
    <mergeCell ref="B27:C27"/>
    <mergeCell ref="B28:C28"/>
    <mergeCell ref="B29:I29"/>
    <mergeCell ref="B30:I30"/>
    <mergeCell ref="B42:C42"/>
    <mergeCell ref="B43:C43"/>
    <mergeCell ref="B44:I44"/>
    <mergeCell ref="B45:I45"/>
    <mergeCell ref="B37:C37"/>
    <mergeCell ref="B38:C38"/>
    <mergeCell ref="B39:I39"/>
    <mergeCell ref="B40:I40"/>
    <mergeCell ref="B52:C52"/>
    <mergeCell ref="B53:C53"/>
    <mergeCell ref="B54:I54"/>
    <mergeCell ref="B55:I55"/>
    <mergeCell ref="B47:C47"/>
    <mergeCell ref="B48:C48"/>
    <mergeCell ref="B49:I49"/>
    <mergeCell ref="B50:I50"/>
    <mergeCell ref="B62:C62"/>
    <mergeCell ref="B63:C63"/>
    <mergeCell ref="B64:I64"/>
    <mergeCell ref="B65:I65"/>
    <mergeCell ref="B57:C57"/>
    <mergeCell ref="B58:C58"/>
    <mergeCell ref="B59:I59"/>
    <mergeCell ref="B60:I60"/>
    <mergeCell ref="B81:C81"/>
    <mergeCell ref="B68:C68"/>
    <mergeCell ref="B72:I72"/>
    <mergeCell ref="B74:C74"/>
    <mergeCell ref="B75:C75"/>
    <mergeCell ref="B76:C76"/>
    <mergeCell ref="B77:C77"/>
    <mergeCell ref="B78:C78"/>
    <mergeCell ref="B79:C79"/>
    <mergeCell ref="B80:C80"/>
    <mergeCell ref="B89:C89"/>
    <mergeCell ref="B90:C90"/>
    <mergeCell ref="B83:C83"/>
    <mergeCell ref="B84:C84"/>
    <mergeCell ref="B85:C85"/>
    <mergeCell ref="B86:C86"/>
    <mergeCell ref="B87:C87"/>
    <mergeCell ref="B88:C88"/>
    <mergeCell ref="B93:C93"/>
    <mergeCell ref="B95:I95"/>
    <mergeCell ref="B96:I96"/>
    <mergeCell ref="B98:I98"/>
    <mergeCell ref="B100:I100"/>
  </mergeCells>
  <conditionalFormatting sqref="H15:I15 B74:C74 D81:E81 D93:E93 B83:C83 G81:I81 G93:I93 H4:I5 B7:C7 D68:I68">
    <cfRule type="expression" dxfId="112" priority="2">
      <formula>$A$2="PRINT"</formula>
    </cfRule>
  </conditionalFormatting>
  <conditionalFormatting sqref="D90:E90 G90:I90">
    <cfRule type="expression" dxfId="111" priority="1">
      <formula>$A$2="PRINT"</formula>
    </cfRule>
  </conditionalFormatting>
  <dataValidations count="3">
    <dataValidation type="list" allowBlank="1" showInputMessage="1" showErrorMessage="1" sqref="H15:I15" xr:uid="{00000000-0002-0000-3200-000000000000}">
      <formula1>"Select,1,2,3,4,5,6,7,8,9,10"</formula1>
    </dataValidation>
    <dataValidation type="list" allowBlank="1" showInputMessage="1" showErrorMessage="1" sqref="H4" xr:uid="{00000000-0002-0000-3200-000001000000}">
      <formula1>"Select,Yes,No"</formula1>
    </dataValidation>
    <dataValidation type="list" allowBlank="1" showInputMessage="1" showErrorMessage="1" sqref="H5:I5" xr:uid="{00000000-0002-0000-3200-000002000000}">
      <formula1>"1,2"</formula1>
    </dataValidation>
  </dataValidations>
  <pageMargins left="0.70866141732283472" right="0.70866141732283472" top="0.74803149606299213" bottom="0.74803149606299213" header="0.31496062992125984" footer="0.31496062992125984"/>
  <pageSetup paperSize="9" fitToHeight="0" orientation="landscape" r:id="rId1"/>
  <headerFooter>
    <oddFooter>&amp;C&amp;P</oddFooter>
  </headerFooter>
  <drawing r:id="rId2"/>
  <picture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3">
    <tabColor theme="1"/>
    <pageSetUpPr fitToPage="1"/>
  </sheetPr>
  <dimension ref="A1:I8"/>
  <sheetViews>
    <sheetView showGridLines="0"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16384" width="9.140625" style="10"/>
  </cols>
  <sheetData>
    <row r="1" spans="1:9" s="9" customFormat="1">
      <c r="A1" s="8"/>
      <c r="C1" s="36"/>
      <c r="D1" s="37"/>
    </row>
    <row r="2" spans="1:9" ht="21">
      <c r="A2" s="104"/>
      <c r="B2" s="621" t="s">
        <v>1233</v>
      </c>
      <c r="C2" s="621"/>
      <c r="D2" s="621"/>
      <c r="E2" s="621"/>
      <c r="F2" s="621"/>
      <c r="G2" s="9"/>
    </row>
    <row r="3" spans="1:9">
      <c r="B3" s="138"/>
      <c r="C3" s="139"/>
      <c r="D3" s="140"/>
      <c r="E3" s="138"/>
      <c r="F3" s="138"/>
    </row>
    <row r="4" spans="1:9">
      <c r="B4"/>
      <c r="C4"/>
      <c r="D4"/>
      <c r="E4"/>
      <c r="F4"/>
      <c r="G4"/>
      <c r="H4"/>
      <c r="I4"/>
    </row>
    <row r="5" spans="1:9" s="36" customFormat="1">
      <c r="A5" s="10"/>
      <c r="B5" s="372" t="s">
        <v>1234</v>
      </c>
      <c r="D5" s="37"/>
      <c r="E5" s="10"/>
      <c r="F5" s="10"/>
      <c r="G5" s="10"/>
      <c r="H5" s="10"/>
      <c r="I5" s="10"/>
    </row>
    <row r="7" spans="1:9" s="36" customFormat="1">
      <c r="A7" s="10"/>
      <c r="B7" s="124" t="s">
        <v>1183</v>
      </c>
      <c r="D7" s="37"/>
      <c r="E7" s="10"/>
      <c r="F7" s="10"/>
      <c r="G7" s="10"/>
      <c r="H7" s="10"/>
      <c r="I7" s="10"/>
    </row>
    <row r="8" spans="1:9" s="36" customFormat="1">
      <c r="A8" s="10"/>
      <c r="B8" s="123" t="s">
        <v>1178</v>
      </c>
      <c r="D8" s="37"/>
      <c r="E8" s="10"/>
      <c r="F8" s="10"/>
      <c r="G8" s="10"/>
      <c r="H8" s="10"/>
      <c r="I8" s="10"/>
    </row>
  </sheetData>
  <sheetProtection formatCells="0" formatColumns="0" formatRows="0" insertHyperlinks="0"/>
  <mergeCells count="1">
    <mergeCell ref="B2:F2"/>
  </mergeCells>
  <hyperlinks>
    <hyperlink ref="B5" location="'3.5 Additional KPIs'!B2" display="3.5 Additional KPIs / Targets" xr:uid="{00000000-0004-0000-3300-000000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2">
    <tabColor theme="2" tint="-0.249977111117893"/>
    <pageSetUpPr fitToPage="1"/>
  </sheetPr>
  <dimension ref="A1:I197"/>
  <sheetViews>
    <sheetView showGridLines="0" zoomScaleNormal="100" workbookViewId="0">
      <selection activeCell="F213" sqref="F213"/>
    </sheetView>
  </sheetViews>
  <sheetFormatPr defaultColWidth="9.140625" defaultRowHeight="15"/>
  <cols>
    <col min="1" max="1" width="9.140625" style="3"/>
    <col min="2" max="2" width="13.5703125" style="3" bestFit="1" customWidth="1"/>
    <col min="3" max="3" width="30.85546875" style="3" customWidth="1"/>
    <col min="4" max="8" width="15.7109375" style="3" customWidth="1"/>
    <col min="9" max="9" width="1.7109375" style="3" customWidth="1"/>
    <col min="10" max="16384" width="9.140625" style="3"/>
  </cols>
  <sheetData>
    <row r="1" spans="1:9">
      <c r="A1" s="100" t="str">
        <f>IF(AND(ISNUMBER(D4),D4&gt;0),"","NO_PRINT")</f>
        <v>NO_PRINT</v>
      </c>
    </row>
    <row r="2" spans="1:9" ht="15.75" customHeight="1">
      <c r="A2" s="103"/>
      <c r="B2" s="42" t="s">
        <v>1066</v>
      </c>
      <c r="C2" s="42"/>
      <c r="D2" s="42"/>
      <c r="E2" s="42"/>
      <c r="F2" s="42"/>
      <c r="G2" s="42"/>
      <c r="H2" s="42"/>
    </row>
    <row r="3" spans="1:9">
      <c r="B3" s="1062"/>
      <c r="C3" s="1063"/>
      <c r="D3" s="1064"/>
      <c r="E3" s="1063"/>
      <c r="F3" s="1063"/>
      <c r="G3" s="1063"/>
      <c r="H3" s="1063"/>
    </row>
    <row r="4" spans="1:9" ht="15.75" customHeight="1">
      <c r="B4" s="1065" t="s">
        <v>998</v>
      </c>
      <c r="C4" s="1066"/>
      <c r="D4" s="1067">
        <v>0</v>
      </c>
      <c r="E4" s="1067"/>
      <c r="F4" s="1067"/>
      <c r="G4" s="1067"/>
      <c r="H4" s="1068"/>
    </row>
    <row r="5" spans="1:9">
      <c r="C5" s="18"/>
      <c r="D5" s="18"/>
      <c r="E5" s="19"/>
      <c r="F5" s="19"/>
      <c r="G5" s="19"/>
      <c r="H5" s="19"/>
    </row>
    <row r="6" spans="1:9" ht="15.75" hidden="1">
      <c r="B6" s="1074" t="s">
        <v>1064</v>
      </c>
      <c r="C6" s="1074"/>
      <c r="D6" s="1074"/>
      <c r="E6" s="19"/>
      <c r="F6" s="361" t="s">
        <v>1065</v>
      </c>
      <c r="G6" s="1072" t="s">
        <v>930</v>
      </c>
      <c r="H6" s="1073"/>
    </row>
    <row r="7" spans="1:9" hidden="1">
      <c r="C7" s="18"/>
      <c r="D7" s="17"/>
      <c r="E7" s="19"/>
      <c r="F7" s="19"/>
      <c r="G7" s="19"/>
      <c r="H7" s="19"/>
    </row>
    <row r="8" spans="1:9" hidden="1">
      <c r="D8" s="356">
        <v>2020</v>
      </c>
      <c r="E8" s="356">
        <v>2021</v>
      </c>
      <c r="F8" s="356">
        <v>2022</v>
      </c>
      <c r="G8" s="356">
        <v>2023</v>
      </c>
      <c r="H8" s="356">
        <v>2024</v>
      </c>
    </row>
    <row r="9" spans="1:9" hidden="1">
      <c r="D9" s="358" t="s">
        <v>30</v>
      </c>
      <c r="E9" s="358" t="s">
        <v>30</v>
      </c>
      <c r="F9" s="358" t="s">
        <v>30</v>
      </c>
      <c r="G9" s="358" t="s">
        <v>30</v>
      </c>
      <c r="H9" s="358" t="s">
        <v>30</v>
      </c>
    </row>
    <row r="10" spans="1:9" ht="30" hidden="1">
      <c r="B10" s="1071" t="s">
        <v>31</v>
      </c>
      <c r="C10" s="359" t="s">
        <v>33</v>
      </c>
      <c r="D10" s="357"/>
      <c r="E10" s="357"/>
      <c r="F10" s="357"/>
      <c r="G10" s="357"/>
      <c r="H10" s="357"/>
    </row>
    <row r="11" spans="1:9" ht="75" hidden="1">
      <c r="B11" s="1071"/>
      <c r="C11" s="360" t="s">
        <v>999</v>
      </c>
      <c r="D11" s="1070"/>
      <c r="E11" s="1070"/>
      <c r="F11" s="1070"/>
      <c r="G11" s="1070"/>
      <c r="H11" s="1070"/>
      <c r="I11" s="39"/>
    </row>
    <row r="12" spans="1:9" hidden="1">
      <c r="B12" s="17"/>
      <c r="C12" s="17"/>
      <c r="D12" s="19"/>
      <c r="E12" s="19"/>
      <c r="F12" s="19"/>
      <c r="G12" s="19"/>
      <c r="H12" s="19"/>
    </row>
    <row r="13" spans="1:9" hidden="1">
      <c r="B13" s="1071" t="s">
        <v>34</v>
      </c>
      <c r="C13" s="1071"/>
      <c r="D13" s="1071"/>
      <c r="E13" s="1071"/>
      <c r="F13" s="1071"/>
      <c r="G13" s="1071"/>
      <c r="H13" s="1071"/>
    </row>
    <row r="14" spans="1:9" ht="15" hidden="1" customHeight="1">
      <c r="B14" s="1069" t="s">
        <v>35</v>
      </c>
      <c r="C14" s="1069"/>
      <c r="D14" s="1070"/>
      <c r="E14" s="1070"/>
      <c r="F14" s="1070"/>
      <c r="G14" s="1070"/>
      <c r="H14" s="1070"/>
    </row>
    <row r="15" spans="1:9" ht="15" hidden="1" customHeight="1">
      <c r="B15" s="1069" t="s">
        <v>36</v>
      </c>
      <c r="C15" s="1069"/>
      <c r="D15" s="1070"/>
      <c r="E15" s="1070"/>
      <c r="F15" s="1070"/>
      <c r="G15" s="1070"/>
      <c r="H15" s="1070"/>
    </row>
    <row r="16" spans="1:9" hidden="1">
      <c r="B16" s="1069" t="s">
        <v>37</v>
      </c>
      <c r="C16" s="1069"/>
      <c r="D16" s="1070"/>
      <c r="E16" s="1070"/>
      <c r="F16" s="1070"/>
      <c r="G16" s="1070"/>
      <c r="H16" s="1070"/>
    </row>
    <row r="17" spans="2:8" hidden="1">
      <c r="B17" s="11"/>
      <c r="C17" s="11"/>
      <c r="D17" s="11"/>
      <c r="E17" s="11"/>
      <c r="F17" s="11"/>
      <c r="G17" s="11"/>
      <c r="H17" s="11"/>
    </row>
    <row r="18" spans="2:8" ht="15" hidden="1" customHeight="1">
      <c r="B18" s="1071" t="s">
        <v>23</v>
      </c>
      <c r="C18" s="1071"/>
      <c r="D18" s="1071"/>
      <c r="E18" s="1071"/>
      <c r="F18" s="1071"/>
      <c r="G18" s="1071"/>
      <c r="H18" s="1071"/>
    </row>
    <row r="19" spans="2:8" ht="75" hidden="1" customHeight="1">
      <c r="B19" s="1075"/>
      <c r="C19" s="1075"/>
      <c r="D19" s="1075"/>
      <c r="E19" s="1075"/>
      <c r="F19" s="1075"/>
      <c r="G19" s="1075"/>
      <c r="H19" s="1075"/>
    </row>
    <row r="20" spans="2:8" hidden="1">
      <c r="B20" s="18"/>
      <c r="C20" s="19"/>
      <c r="D20" s="1076"/>
      <c r="E20" s="1076"/>
      <c r="F20" s="1076"/>
      <c r="G20" s="1076"/>
      <c r="H20" s="1076"/>
    </row>
    <row r="21" spans="2:8" hidden="1"/>
    <row r="22" spans="2:8" ht="15.75" hidden="1">
      <c r="B22" s="1074" t="s">
        <v>1064</v>
      </c>
      <c r="C22" s="1074"/>
      <c r="D22" s="1074"/>
      <c r="E22" s="19"/>
      <c r="F22" s="361" t="s">
        <v>1065</v>
      </c>
      <c r="G22" s="1072" t="s">
        <v>930</v>
      </c>
      <c r="H22" s="1073"/>
    </row>
    <row r="23" spans="2:8" hidden="1">
      <c r="C23" s="18"/>
      <c r="D23" s="17"/>
      <c r="E23" s="19"/>
      <c r="F23" s="19"/>
      <c r="G23" s="19"/>
      <c r="H23" s="19"/>
    </row>
    <row r="24" spans="2:8" hidden="1">
      <c r="D24" s="356">
        <v>2020</v>
      </c>
      <c r="E24" s="356">
        <v>2021</v>
      </c>
      <c r="F24" s="356">
        <v>2022</v>
      </c>
      <c r="G24" s="356">
        <v>2023</v>
      </c>
      <c r="H24" s="356">
        <v>2024</v>
      </c>
    </row>
    <row r="25" spans="2:8" hidden="1">
      <c r="D25" s="358" t="s">
        <v>30</v>
      </c>
      <c r="E25" s="358" t="s">
        <v>30</v>
      </c>
      <c r="F25" s="358" t="s">
        <v>30</v>
      </c>
      <c r="G25" s="358" t="s">
        <v>30</v>
      </c>
      <c r="H25" s="358" t="s">
        <v>30</v>
      </c>
    </row>
    <row r="26" spans="2:8" ht="30" hidden="1">
      <c r="B26" s="1071" t="s">
        <v>31</v>
      </c>
      <c r="C26" s="359" t="s">
        <v>33</v>
      </c>
      <c r="D26" s="357"/>
      <c r="E26" s="357"/>
      <c r="F26" s="357"/>
      <c r="G26" s="357"/>
      <c r="H26" s="357"/>
    </row>
    <row r="27" spans="2:8" ht="75" hidden="1">
      <c r="B27" s="1071"/>
      <c r="C27" s="360" t="s">
        <v>20</v>
      </c>
      <c r="D27" s="1070"/>
      <c r="E27" s="1070"/>
      <c r="F27" s="1070"/>
      <c r="G27" s="1070"/>
      <c r="H27" s="1070"/>
    </row>
    <row r="28" spans="2:8" hidden="1">
      <c r="B28" s="17"/>
      <c r="C28" s="17"/>
      <c r="D28" s="19"/>
      <c r="E28" s="19"/>
      <c r="F28" s="19"/>
      <c r="G28" s="19"/>
      <c r="H28" s="19"/>
    </row>
    <row r="29" spans="2:8" hidden="1">
      <c r="B29" s="1071" t="s">
        <v>34</v>
      </c>
      <c r="C29" s="1071"/>
      <c r="D29" s="1071"/>
      <c r="E29" s="1071"/>
      <c r="F29" s="1071"/>
      <c r="G29" s="1071"/>
      <c r="H29" s="1071"/>
    </row>
    <row r="30" spans="2:8" ht="15" hidden="1" customHeight="1">
      <c r="B30" s="1069" t="s">
        <v>35</v>
      </c>
      <c r="C30" s="1069"/>
      <c r="D30" s="1070"/>
      <c r="E30" s="1070"/>
      <c r="F30" s="1070"/>
      <c r="G30" s="1070"/>
      <c r="H30" s="1070"/>
    </row>
    <row r="31" spans="2:8" ht="15" hidden="1" customHeight="1">
      <c r="B31" s="1069" t="s">
        <v>36</v>
      </c>
      <c r="C31" s="1069"/>
      <c r="D31" s="1070"/>
      <c r="E31" s="1070"/>
      <c r="F31" s="1070"/>
      <c r="G31" s="1070"/>
      <c r="H31" s="1070"/>
    </row>
    <row r="32" spans="2:8" hidden="1">
      <c r="B32" s="1069" t="s">
        <v>37</v>
      </c>
      <c r="C32" s="1069"/>
      <c r="D32" s="1070"/>
      <c r="E32" s="1070"/>
      <c r="F32" s="1070"/>
      <c r="G32" s="1070"/>
      <c r="H32" s="1070"/>
    </row>
    <row r="33" spans="2:8" hidden="1">
      <c r="B33" s="11"/>
      <c r="C33" s="11"/>
      <c r="D33" s="11"/>
      <c r="E33" s="11"/>
      <c r="F33" s="11"/>
      <c r="G33" s="11"/>
      <c r="H33" s="11"/>
    </row>
    <row r="34" spans="2:8" ht="15" hidden="1" customHeight="1">
      <c r="B34" s="1071" t="s">
        <v>23</v>
      </c>
      <c r="C34" s="1071"/>
      <c r="D34" s="1071"/>
      <c r="E34" s="1071"/>
      <c r="F34" s="1071"/>
      <c r="G34" s="1071"/>
      <c r="H34" s="1071"/>
    </row>
    <row r="35" spans="2:8" ht="75" hidden="1" customHeight="1">
      <c r="B35" s="1075"/>
      <c r="C35" s="1075"/>
      <c r="D35" s="1075"/>
      <c r="E35" s="1075"/>
      <c r="F35" s="1075"/>
      <c r="G35" s="1075"/>
      <c r="H35" s="1075"/>
    </row>
    <row r="36" spans="2:8" hidden="1">
      <c r="B36" s="33"/>
      <c r="C36" s="34"/>
      <c r="D36" s="1077"/>
      <c r="E36" s="1077"/>
      <c r="F36" s="1077"/>
      <c r="G36" s="1077"/>
      <c r="H36" s="1077"/>
    </row>
    <row r="37" spans="2:8" hidden="1"/>
    <row r="38" spans="2:8" ht="15.75" hidden="1">
      <c r="B38" s="1074" t="s">
        <v>1064</v>
      </c>
      <c r="C38" s="1074"/>
      <c r="D38" s="1074"/>
      <c r="E38" s="19"/>
      <c r="F38" s="361" t="s">
        <v>1065</v>
      </c>
      <c r="G38" s="1072" t="s">
        <v>930</v>
      </c>
      <c r="H38" s="1073"/>
    </row>
    <row r="39" spans="2:8" hidden="1">
      <c r="C39" s="18"/>
      <c r="D39" s="17"/>
      <c r="E39" s="19"/>
      <c r="F39" s="19"/>
      <c r="G39" s="19"/>
      <c r="H39" s="19"/>
    </row>
    <row r="40" spans="2:8" hidden="1">
      <c r="D40" s="356">
        <v>2020</v>
      </c>
      <c r="E40" s="356">
        <v>2021</v>
      </c>
      <c r="F40" s="356">
        <v>2022</v>
      </c>
      <c r="G40" s="356">
        <v>2023</v>
      </c>
      <c r="H40" s="356">
        <v>2024</v>
      </c>
    </row>
    <row r="41" spans="2:8" hidden="1">
      <c r="D41" s="358" t="s">
        <v>30</v>
      </c>
      <c r="E41" s="358" t="s">
        <v>30</v>
      </c>
      <c r="F41" s="358" t="s">
        <v>30</v>
      </c>
      <c r="G41" s="358" t="s">
        <v>30</v>
      </c>
      <c r="H41" s="358" t="s">
        <v>30</v>
      </c>
    </row>
    <row r="42" spans="2:8" ht="30" hidden="1">
      <c r="B42" s="1071" t="s">
        <v>31</v>
      </c>
      <c r="C42" s="359" t="s">
        <v>33</v>
      </c>
      <c r="D42" s="357"/>
      <c r="E42" s="357"/>
      <c r="F42" s="357"/>
      <c r="G42" s="357"/>
      <c r="H42" s="357"/>
    </row>
    <row r="43" spans="2:8" ht="75" hidden="1">
      <c r="B43" s="1071"/>
      <c r="C43" s="360" t="s">
        <v>20</v>
      </c>
      <c r="D43" s="1070"/>
      <c r="E43" s="1070"/>
      <c r="F43" s="1070"/>
      <c r="G43" s="1070"/>
      <c r="H43" s="1070"/>
    </row>
    <row r="44" spans="2:8" hidden="1">
      <c r="B44" s="17"/>
      <c r="C44" s="17"/>
      <c r="D44" s="19"/>
      <c r="E44" s="19"/>
      <c r="F44" s="19"/>
      <c r="G44" s="19"/>
      <c r="H44" s="19"/>
    </row>
    <row r="45" spans="2:8" hidden="1">
      <c r="B45" s="1071" t="s">
        <v>34</v>
      </c>
      <c r="C45" s="1071"/>
      <c r="D45" s="1071"/>
      <c r="E45" s="1071"/>
      <c r="F45" s="1071"/>
      <c r="G45" s="1071"/>
      <c r="H45" s="1071"/>
    </row>
    <row r="46" spans="2:8" ht="15" hidden="1" customHeight="1">
      <c r="B46" s="1069" t="s">
        <v>35</v>
      </c>
      <c r="C46" s="1069"/>
      <c r="D46" s="1070"/>
      <c r="E46" s="1070"/>
      <c r="F46" s="1070"/>
      <c r="G46" s="1070"/>
      <c r="H46" s="1070"/>
    </row>
    <row r="47" spans="2:8" ht="15" hidden="1" customHeight="1">
      <c r="B47" s="1069" t="s">
        <v>36</v>
      </c>
      <c r="C47" s="1069"/>
      <c r="D47" s="1070"/>
      <c r="E47" s="1070"/>
      <c r="F47" s="1070"/>
      <c r="G47" s="1070"/>
      <c r="H47" s="1070"/>
    </row>
    <row r="48" spans="2:8" hidden="1">
      <c r="B48" s="1069" t="s">
        <v>37</v>
      </c>
      <c r="C48" s="1069"/>
      <c r="D48" s="1070"/>
      <c r="E48" s="1070"/>
      <c r="F48" s="1070"/>
      <c r="G48" s="1070"/>
      <c r="H48" s="1070"/>
    </row>
    <row r="49" spans="2:8" hidden="1">
      <c r="B49" s="11"/>
      <c r="C49" s="11"/>
      <c r="D49" s="11"/>
      <c r="E49" s="11"/>
      <c r="F49" s="11"/>
      <c r="G49" s="11"/>
      <c r="H49" s="11"/>
    </row>
    <row r="50" spans="2:8" ht="15" hidden="1" customHeight="1">
      <c r="B50" s="1071" t="s">
        <v>23</v>
      </c>
      <c r="C50" s="1071"/>
      <c r="D50" s="1071"/>
      <c r="E50" s="1071"/>
      <c r="F50" s="1071"/>
      <c r="G50" s="1071"/>
      <c r="H50" s="1071"/>
    </row>
    <row r="51" spans="2:8" ht="75" hidden="1" customHeight="1">
      <c r="B51" s="1075"/>
      <c r="C51" s="1075"/>
      <c r="D51" s="1075"/>
      <c r="E51" s="1075"/>
      <c r="F51" s="1075"/>
      <c r="G51" s="1075"/>
      <c r="H51" s="1075"/>
    </row>
    <row r="52" spans="2:8" hidden="1">
      <c r="B52" s="33"/>
      <c r="C52" s="34"/>
      <c r="D52" s="1077"/>
      <c r="E52" s="1077"/>
      <c r="F52" s="1077"/>
      <c r="G52" s="1077"/>
      <c r="H52" s="1077"/>
    </row>
    <row r="53" spans="2:8" hidden="1"/>
    <row r="54" spans="2:8" ht="15.75" hidden="1">
      <c r="B54" s="1074" t="s">
        <v>1064</v>
      </c>
      <c r="C54" s="1074"/>
      <c r="D54" s="1074"/>
      <c r="E54" s="19"/>
      <c r="F54" s="361" t="s">
        <v>1065</v>
      </c>
      <c r="G54" s="1072" t="s">
        <v>930</v>
      </c>
      <c r="H54" s="1073"/>
    </row>
    <row r="55" spans="2:8" hidden="1">
      <c r="C55" s="18"/>
      <c r="D55" s="17"/>
      <c r="E55" s="19"/>
      <c r="F55" s="19"/>
      <c r="G55" s="19"/>
      <c r="H55" s="19"/>
    </row>
    <row r="56" spans="2:8" hidden="1">
      <c r="D56" s="356">
        <v>2020</v>
      </c>
      <c r="E56" s="356">
        <v>2021</v>
      </c>
      <c r="F56" s="356">
        <v>2022</v>
      </c>
      <c r="G56" s="356">
        <v>2023</v>
      </c>
      <c r="H56" s="356">
        <v>2024</v>
      </c>
    </row>
    <row r="57" spans="2:8" hidden="1">
      <c r="D57" s="358" t="s">
        <v>30</v>
      </c>
      <c r="E57" s="358" t="s">
        <v>30</v>
      </c>
      <c r="F57" s="358" t="s">
        <v>30</v>
      </c>
      <c r="G57" s="358" t="s">
        <v>30</v>
      </c>
      <c r="H57" s="358" t="s">
        <v>30</v>
      </c>
    </row>
    <row r="58" spans="2:8" ht="30" hidden="1">
      <c r="B58" s="1071" t="s">
        <v>31</v>
      </c>
      <c r="C58" s="359" t="s">
        <v>33</v>
      </c>
      <c r="D58" s="357"/>
      <c r="E58" s="357"/>
      <c r="F58" s="357"/>
      <c r="G58" s="357"/>
      <c r="H58" s="357"/>
    </row>
    <row r="59" spans="2:8" ht="75" hidden="1">
      <c r="B59" s="1071"/>
      <c r="C59" s="360" t="s">
        <v>20</v>
      </c>
      <c r="D59" s="1070"/>
      <c r="E59" s="1070"/>
      <c r="F59" s="1070"/>
      <c r="G59" s="1070"/>
      <c r="H59" s="1070"/>
    </row>
    <row r="60" spans="2:8" hidden="1">
      <c r="B60" s="17"/>
      <c r="C60" s="17"/>
      <c r="D60" s="19"/>
      <c r="E60" s="19"/>
      <c r="F60" s="19"/>
      <c r="G60" s="19"/>
      <c r="H60" s="19"/>
    </row>
    <row r="61" spans="2:8" hidden="1">
      <c r="B61" s="1071" t="s">
        <v>34</v>
      </c>
      <c r="C61" s="1071"/>
      <c r="D61" s="1071"/>
      <c r="E61" s="1071"/>
      <c r="F61" s="1071"/>
      <c r="G61" s="1071"/>
      <c r="H61" s="1071"/>
    </row>
    <row r="62" spans="2:8" ht="15" hidden="1" customHeight="1">
      <c r="B62" s="1069" t="s">
        <v>35</v>
      </c>
      <c r="C62" s="1069"/>
      <c r="D62" s="1070"/>
      <c r="E62" s="1070"/>
      <c r="F62" s="1070"/>
      <c r="G62" s="1070"/>
      <c r="H62" s="1070"/>
    </row>
    <row r="63" spans="2:8" ht="15" hidden="1" customHeight="1">
      <c r="B63" s="1069" t="s">
        <v>36</v>
      </c>
      <c r="C63" s="1069"/>
      <c r="D63" s="1070"/>
      <c r="E63" s="1070"/>
      <c r="F63" s="1070"/>
      <c r="G63" s="1070"/>
      <c r="H63" s="1070"/>
    </row>
    <row r="64" spans="2:8" hidden="1">
      <c r="B64" s="1069" t="s">
        <v>37</v>
      </c>
      <c r="C64" s="1069"/>
      <c r="D64" s="1070"/>
      <c r="E64" s="1070"/>
      <c r="F64" s="1070"/>
      <c r="G64" s="1070"/>
      <c r="H64" s="1070"/>
    </row>
    <row r="65" spans="2:8" hidden="1">
      <c r="B65" s="11"/>
      <c r="C65" s="11"/>
      <c r="D65" s="11"/>
      <c r="E65" s="11"/>
      <c r="F65" s="11"/>
      <c r="G65" s="11"/>
      <c r="H65" s="11"/>
    </row>
    <row r="66" spans="2:8" ht="15" hidden="1" customHeight="1">
      <c r="B66" s="1071" t="s">
        <v>23</v>
      </c>
      <c r="C66" s="1071"/>
      <c r="D66" s="1071"/>
      <c r="E66" s="1071"/>
      <c r="F66" s="1071"/>
      <c r="G66" s="1071"/>
      <c r="H66" s="1071"/>
    </row>
    <row r="67" spans="2:8" ht="75" hidden="1" customHeight="1">
      <c r="B67" s="1075"/>
      <c r="C67" s="1075"/>
      <c r="D67" s="1075"/>
      <c r="E67" s="1075"/>
      <c r="F67" s="1075"/>
      <c r="G67" s="1075"/>
      <c r="H67" s="1075"/>
    </row>
    <row r="68" spans="2:8" hidden="1">
      <c r="B68" s="33"/>
      <c r="C68" s="34"/>
      <c r="D68" s="1077"/>
      <c r="E68" s="1077"/>
      <c r="F68" s="1077"/>
      <c r="G68" s="1077"/>
      <c r="H68" s="1077"/>
    </row>
    <row r="69" spans="2:8" hidden="1"/>
    <row r="70" spans="2:8" ht="15.75" hidden="1">
      <c r="B70" s="1074" t="s">
        <v>1064</v>
      </c>
      <c r="C70" s="1074"/>
      <c r="D70" s="1074"/>
      <c r="E70" s="19"/>
      <c r="F70" s="361" t="s">
        <v>1065</v>
      </c>
      <c r="G70" s="1072" t="s">
        <v>930</v>
      </c>
      <c r="H70" s="1073"/>
    </row>
    <row r="71" spans="2:8" hidden="1">
      <c r="C71" s="18"/>
      <c r="D71" s="17"/>
      <c r="E71" s="19"/>
      <c r="F71" s="19"/>
      <c r="G71" s="19"/>
      <c r="H71" s="19"/>
    </row>
    <row r="72" spans="2:8" hidden="1">
      <c r="D72" s="356">
        <v>2020</v>
      </c>
      <c r="E72" s="356">
        <v>2021</v>
      </c>
      <c r="F72" s="356">
        <v>2022</v>
      </c>
      <c r="G72" s="356">
        <v>2023</v>
      </c>
      <c r="H72" s="356">
        <v>2024</v>
      </c>
    </row>
    <row r="73" spans="2:8" hidden="1">
      <c r="D73" s="358" t="s">
        <v>30</v>
      </c>
      <c r="E73" s="358" t="s">
        <v>30</v>
      </c>
      <c r="F73" s="358" t="s">
        <v>30</v>
      </c>
      <c r="G73" s="358" t="s">
        <v>30</v>
      </c>
      <c r="H73" s="358" t="s">
        <v>30</v>
      </c>
    </row>
    <row r="74" spans="2:8" ht="30" hidden="1">
      <c r="B74" s="1071" t="s">
        <v>31</v>
      </c>
      <c r="C74" s="359" t="s">
        <v>33</v>
      </c>
      <c r="D74" s="357"/>
      <c r="E74" s="357"/>
      <c r="F74" s="357"/>
      <c r="G74" s="357"/>
      <c r="H74" s="357"/>
    </row>
    <row r="75" spans="2:8" ht="75" hidden="1">
      <c r="B75" s="1071"/>
      <c r="C75" s="360" t="s">
        <v>20</v>
      </c>
      <c r="D75" s="1070"/>
      <c r="E75" s="1070"/>
      <c r="F75" s="1070"/>
      <c r="G75" s="1070"/>
      <c r="H75" s="1070"/>
    </row>
    <row r="76" spans="2:8" hidden="1">
      <c r="B76" s="17"/>
      <c r="C76" s="17"/>
      <c r="D76" s="19"/>
      <c r="E76" s="19"/>
      <c r="F76" s="19"/>
      <c r="G76" s="19"/>
      <c r="H76" s="19"/>
    </row>
    <row r="77" spans="2:8" hidden="1">
      <c r="B77" s="1071" t="s">
        <v>34</v>
      </c>
      <c r="C77" s="1071"/>
      <c r="D77" s="1071"/>
      <c r="E77" s="1071"/>
      <c r="F77" s="1071"/>
      <c r="G77" s="1071"/>
      <c r="H77" s="1071"/>
    </row>
    <row r="78" spans="2:8" ht="15" hidden="1" customHeight="1">
      <c r="B78" s="1069" t="s">
        <v>35</v>
      </c>
      <c r="C78" s="1069"/>
      <c r="D78" s="1070"/>
      <c r="E78" s="1070"/>
      <c r="F78" s="1070"/>
      <c r="G78" s="1070"/>
      <c r="H78" s="1070"/>
    </row>
    <row r="79" spans="2:8" ht="15" hidden="1" customHeight="1">
      <c r="B79" s="1069" t="s">
        <v>36</v>
      </c>
      <c r="C79" s="1069"/>
      <c r="D79" s="1070"/>
      <c r="E79" s="1070"/>
      <c r="F79" s="1070"/>
      <c r="G79" s="1070"/>
      <c r="H79" s="1070"/>
    </row>
    <row r="80" spans="2:8" hidden="1">
      <c r="B80" s="1069" t="s">
        <v>37</v>
      </c>
      <c r="C80" s="1069"/>
      <c r="D80" s="1070"/>
      <c r="E80" s="1070"/>
      <c r="F80" s="1070"/>
      <c r="G80" s="1070"/>
      <c r="H80" s="1070"/>
    </row>
    <row r="81" spans="2:8" hidden="1">
      <c r="B81" s="11"/>
      <c r="C81" s="11"/>
      <c r="D81" s="11"/>
      <c r="E81" s="11"/>
      <c r="F81" s="11"/>
      <c r="G81" s="11"/>
      <c r="H81" s="11"/>
    </row>
    <row r="82" spans="2:8" ht="15" hidden="1" customHeight="1">
      <c r="B82" s="1071" t="s">
        <v>23</v>
      </c>
      <c r="C82" s="1071"/>
      <c r="D82" s="1071"/>
      <c r="E82" s="1071"/>
      <c r="F82" s="1071"/>
      <c r="G82" s="1071"/>
      <c r="H82" s="1071"/>
    </row>
    <row r="83" spans="2:8" ht="75" hidden="1" customHeight="1">
      <c r="B83" s="1075"/>
      <c r="C83" s="1075"/>
      <c r="D83" s="1075"/>
      <c r="E83" s="1075"/>
      <c r="F83" s="1075"/>
      <c r="G83" s="1075"/>
      <c r="H83" s="1075"/>
    </row>
    <row r="84" spans="2:8" hidden="1">
      <c r="B84" s="33"/>
      <c r="C84" s="34"/>
      <c r="D84" s="1077"/>
      <c r="E84" s="1077"/>
      <c r="F84" s="1077"/>
      <c r="G84" s="1077"/>
      <c r="H84" s="1077"/>
    </row>
    <row r="85" spans="2:8" hidden="1"/>
    <row r="86" spans="2:8" ht="15.75" hidden="1">
      <c r="B86" s="1074" t="s">
        <v>1064</v>
      </c>
      <c r="C86" s="1074"/>
      <c r="D86" s="1074"/>
      <c r="E86" s="19"/>
      <c r="F86" s="361" t="s">
        <v>1065</v>
      </c>
      <c r="G86" s="1072" t="s">
        <v>930</v>
      </c>
      <c r="H86" s="1073"/>
    </row>
    <row r="87" spans="2:8" hidden="1">
      <c r="C87" s="18"/>
      <c r="D87" s="17"/>
      <c r="E87" s="19"/>
      <c r="F87" s="19"/>
      <c r="G87" s="19"/>
      <c r="H87" s="19"/>
    </row>
    <row r="88" spans="2:8" hidden="1">
      <c r="D88" s="356">
        <v>2020</v>
      </c>
      <c r="E88" s="356">
        <v>2021</v>
      </c>
      <c r="F88" s="356">
        <v>2022</v>
      </c>
      <c r="G88" s="356">
        <v>2023</v>
      </c>
      <c r="H88" s="356">
        <v>2024</v>
      </c>
    </row>
    <row r="89" spans="2:8" hidden="1">
      <c r="D89" s="358" t="s">
        <v>30</v>
      </c>
      <c r="E89" s="358" t="s">
        <v>30</v>
      </c>
      <c r="F89" s="358" t="s">
        <v>30</v>
      </c>
      <c r="G89" s="358" t="s">
        <v>30</v>
      </c>
      <c r="H89" s="358" t="s">
        <v>30</v>
      </c>
    </row>
    <row r="90" spans="2:8" ht="30" hidden="1">
      <c r="B90" s="1071" t="s">
        <v>31</v>
      </c>
      <c r="C90" s="359" t="s">
        <v>33</v>
      </c>
      <c r="D90" s="357"/>
      <c r="E90" s="357"/>
      <c r="F90" s="357"/>
      <c r="G90" s="357"/>
      <c r="H90" s="357"/>
    </row>
    <row r="91" spans="2:8" ht="75" hidden="1">
      <c r="B91" s="1071"/>
      <c r="C91" s="360" t="s">
        <v>20</v>
      </c>
      <c r="D91" s="1070"/>
      <c r="E91" s="1070"/>
      <c r="F91" s="1070"/>
      <c r="G91" s="1070"/>
      <c r="H91" s="1070"/>
    </row>
    <row r="92" spans="2:8" hidden="1">
      <c r="B92" s="17"/>
      <c r="C92" s="17"/>
      <c r="D92" s="19"/>
      <c r="E92" s="19"/>
      <c r="F92" s="19"/>
      <c r="G92" s="19"/>
      <c r="H92" s="19"/>
    </row>
    <row r="93" spans="2:8" hidden="1">
      <c r="B93" s="1071" t="s">
        <v>34</v>
      </c>
      <c r="C93" s="1071"/>
      <c r="D93" s="1071"/>
      <c r="E93" s="1071"/>
      <c r="F93" s="1071"/>
      <c r="G93" s="1071"/>
      <c r="H93" s="1071"/>
    </row>
    <row r="94" spans="2:8" ht="15" hidden="1" customHeight="1">
      <c r="B94" s="1069" t="s">
        <v>35</v>
      </c>
      <c r="C94" s="1069"/>
      <c r="D94" s="1070"/>
      <c r="E94" s="1070"/>
      <c r="F94" s="1070"/>
      <c r="G94" s="1070"/>
      <c r="H94" s="1070"/>
    </row>
    <row r="95" spans="2:8" ht="15" hidden="1" customHeight="1">
      <c r="B95" s="1069" t="s">
        <v>36</v>
      </c>
      <c r="C95" s="1069"/>
      <c r="D95" s="1070"/>
      <c r="E95" s="1070"/>
      <c r="F95" s="1070"/>
      <c r="G95" s="1070"/>
      <c r="H95" s="1070"/>
    </row>
    <row r="96" spans="2:8" hidden="1">
      <c r="B96" s="1069" t="s">
        <v>37</v>
      </c>
      <c r="C96" s="1069"/>
      <c r="D96" s="1070"/>
      <c r="E96" s="1070"/>
      <c r="F96" s="1070"/>
      <c r="G96" s="1070"/>
      <c r="H96" s="1070"/>
    </row>
    <row r="97" spans="2:8" hidden="1">
      <c r="B97" s="11"/>
      <c r="C97" s="11"/>
      <c r="D97" s="11"/>
      <c r="E97" s="11"/>
      <c r="F97" s="11"/>
      <c r="G97" s="11"/>
      <c r="H97" s="11"/>
    </row>
    <row r="98" spans="2:8" ht="15" hidden="1" customHeight="1">
      <c r="B98" s="1071" t="s">
        <v>23</v>
      </c>
      <c r="C98" s="1071"/>
      <c r="D98" s="1071"/>
      <c r="E98" s="1071"/>
      <c r="F98" s="1071"/>
      <c r="G98" s="1071"/>
      <c r="H98" s="1071"/>
    </row>
    <row r="99" spans="2:8" ht="75" hidden="1" customHeight="1">
      <c r="B99" s="1075"/>
      <c r="C99" s="1075"/>
      <c r="D99" s="1075"/>
      <c r="E99" s="1075"/>
      <c r="F99" s="1075"/>
      <c r="G99" s="1075"/>
      <c r="H99" s="1075"/>
    </row>
    <row r="100" spans="2:8" hidden="1">
      <c r="B100" s="33"/>
      <c r="C100" s="34"/>
      <c r="D100" s="1077"/>
      <c r="E100" s="1077"/>
      <c r="F100" s="1077"/>
      <c r="G100" s="1077"/>
      <c r="H100" s="1077"/>
    </row>
    <row r="101" spans="2:8" hidden="1"/>
    <row r="102" spans="2:8" ht="15.75" hidden="1">
      <c r="B102" s="1074" t="s">
        <v>1064</v>
      </c>
      <c r="C102" s="1074"/>
      <c r="D102" s="1074"/>
      <c r="E102" s="19"/>
      <c r="F102" s="361" t="s">
        <v>1065</v>
      </c>
      <c r="G102" s="1072" t="s">
        <v>930</v>
      </c>
      <c r="H102" s="1073"/>
    </row>
    <row r="103" spans="2:8" hidden="1">
      <c r="C103" s="18"/>
      <c r="D103" s="17"/>
      <c r="E103" s="19"/>
      <c r="F103" s="19"/>
      <c r="G103" s="19"/>
      <c r="H103" s="19"/>
    </row>
    <row r="104" spans="2:8" hidden="1">
      <c r="D104" s="356">
        <v>2020</v>
      </c>
      <c r="E104" s="356">
        <v>2021</v>
      </c>
      <c r="F104" s="356">
        <v>2022</v>
      </c>
      <c r="G104" s="356">
        <v>2023</v>
      </c>
      <c r="H104" s="356">
        <v>2024</v>
      </c>
    </row>
    <row r="105" spans="2:8" hidden="1">
      <c r="D105" s="358" t="s">
        <v>30</v>
      </c>
      <c r="E105" s="358" t="s">
        <v>30</v>
      </c>
      <c r="F105" s="358" t="s">
        <v>30</v>
      </c>
      <c r="G105" s="358" t="s">
        <v>30</v>
      </c>
      <c r="H105" s="358" t="s">
        <v>30</v>
      </c>
    </row>
    <row r="106" spans="2:8" ht="30" hidden="1">
      <c r="B106" s="1071" t="s">
        <v>31</v>
      </c>
      <c r="C106" s="359" t="s">
        <v>33</v>
      </c>
      <c r="D106" s="357"/>
      <c r="E106" s="357"/>
      <c r="F106" s="357"/>
      <c r="G106" s="357"/>
      <c r="H106" s="357"/>
    </row>
    <row r="107" spans="2:8" ht="75" hidden="1">
      <c r="B107" s="1071"/>
      <c r="C107" s="360" t="s">
        <v>20</v>
      </c>
      <c r="D107" s="1070"/>
      <c r="E107" s="1070"/>
      <c r="F107" s="1070"/>
      <c r="G107" s="1070"/>
      <c r="H107" s="1070"/>
    </row>
    <row r="108" spans="2:8" hidden="1">
      <c r="B108" s="17"/>
      <c r="C108" s="17"/>
      <c r="D108" s="19"/>
      <c r="E108" s="19"/>
      <c r="F108" s="19"/>
      <c r="G108" s="19"/>
      <c r="H108" s="19"/>
    </row>
    <row r="109" spans="2:8" hidden="1">
      <c r="B109" s="1071" t="s">
        <v>34</v>
      </c>
      <c r="C109" s="1071"/>
      <c r="D109" s="1071"/>
      <c r="E109" s="1071"/>
      <c r="F109" s="1071"/>
      <c r="G109" s="1071"/>
      <c r="H109" s="1071"/>
    </row>
    <row r="110" spans="2:8" ht="15" hidden="1" customHeight="1">
      <c r="B110" s="1069" t="s">
        <v>35</v>
      </c>
      <c r="C110" s="1069"/>
      <c r="D110" s="1070"/>
      <c r="E110" s="1070"/>
      <c r="F110" s="1070"/>
      <c r="G110" s="1070"/>
      <c r="H110" s="1070"/>
    </row>
    <row r="111" spans="2:8" ht="15" hidden="1" customHeight="1">
      <c r="B111" s="1069" t="s">
        <v>36</v>
      </c>
      <c r="C111" s="1069"/>
      <c r="D111" s="1070"/>
      <c r="E111" s="1070"/>
      <c r="F111" s="1070"/>
      <c r="G111" s="1070"/>
      <c r="H111" s="1070"/>
    </row>
    <row r="112" spans="2:8" hidden="1">
      <c r="B112" s="1069" t="s">
        <v>37</v>
      </c>
      <c r="C112" s="1069"/>
      <c r="D112" s="1070"/>
      <c r="E112" s="1070"/>
      <c r="F112" s="1070"/>
      <c r="G112" s="1070"/>
      <c r="H112" s="1070"/>
    </row>
    <row r="113" spans="2:8" hidden="1">
      <c r="B113" s="11"/>
      <c r="C113" s="11"/>
      <c r="D113" s="11"/>
      <c r="E113" s="11"/>
      <c r="F113" s="11"/>
      <c r="G113" s="11"/>
      <c r="H113" s="11"/>
    </row>
    <row r="114" spans="2:8" ht="15" hidden="1" customHeight="1">
      <c r="B114" s="1071" t="s">
        <v>23</v>
      </c>
      <c r="C114" s="1071"/>
      <c r="D114" s="1071"/>
      <c r="E114" s="1071"/>
      <c r="F114" s="1071"/>
      <c r="G114" s="1071"/>
      <c r="H114" s="1071"/>
    </row>
    <row r="115" spans="2:8" ht="75" hidden="1" customHeight="1">
      <c r="B115" s="1075"/>
      <c r="C115" s="1075"/>
      <c r="D115" s="1075"/>
      <c r="E115" s="1075"/>
      <c r="F115" s="1075"/>
      <c r="G115" s="1075"/>
      <c r="H115" s="1075"/>
    </row>
    <row r="116" spans="2:8" hidden="1">
      <c r="B116" s="33"/>
      <c r="C116" s="34"/>
      <c r="D116" s="1077"/>
      <c r="E116" s="1077"/>
      <c r="F116" s="1077"/>
      <c r="G116" s="1077"/>
      <c r="H116" s="1077"/>
    </row>
    <row r="117" spans="2:8" hidden="1"/>
    <row r="118" spans="2:8" ht="15.75" hidden="1">
      <c r="B118" s="1074" t="s">
        <v>1064</v>
      </c>
      <c r="C118" s="1074"/>
      <c r="D118" s="1074"/>
      <c r="E118" s="19"/>
      <c r="F118" s="361" t="s">
        <v>1065</v>
      </c>
      <c r="G118" s="1072" t="s">
        <v>930</v>
      </c>
      <c r="H118" s="1073"/>
    </row>
    <row r="119" spans="2:8" hidden="1">
      <c r="C119" s="18"/>
      <c r="D119" s="17"/>
      <c r="E119" s="19"/>
      <c r="F119" s="19"/>
      <c r="G119" s="19"/>
      <c r="H119" s="19"/>
    </row>
    <row r="120" spans="2:8" hidden="1">
      <c r="D120" s="356">
        <v>2020</v>
      </c>
      <c r="E120" s="356">
        <v>2021</v>
      </c>
      <c r="F120" s="356">
        <v>2022</v>
      </c>
      <c r="G120" s="356">
        <v>2023</v>
      </c>
      <c r="H120" s="356">
        <v>2024</v>
      </c>
    </row>
    <row r="121" spans="2:8" hidden="1">
      <c r="D121" s="358" t="s">
        <v>30</v>
      </c>
      <c r="E121" s="358" t="s">
        <v>30</v>
      </c>
      <c r="F121" s="358" t="s">
        <v>30</v>
      </c>
      <c r="G121" s="358" t="s">
        <v>30</v>
      </c>
      <c r="H121" s="358" t="s">
        <v>30</v>
      </c>
    </row>
    <row r="122" spans="2:8" ht="30" hidden="1">
      <c r="B122" s="1071" t="s">
        <v>31</v>
      </c>
      <c r="C122" s="359" t="s">
        <v>33</v>
      </c>
      <c r="D122" s="357"/>
      <c r="E122" s="357"/>
      <c r="F122" s="357"/>
      <c r="G122" s="357"/>
      <c r="H122" s="357"/>
    </row>
    <row r="123" spans="2:8" ht="75" hidden="1">
      <c r="B123" s="1071"/>
      <c r="C123" s="360" t="s">
        <v>20</v>
      </c>
      <c r="D123" s="1070"/>
      <c r="E123" s="1070"/>
      <c r="F123" s="1070"/>
      <c r="G123" s="1070"/>
      <c r="H123" s="1070"/>
    </row>
    <row r="124" spans="2:8" hidden="1">
      <c r="B124" s="17"/>
      <c r="C124" s="17"/>
      <c r="D124" s="19"/>
      <c r="E124" s="19"/>
      <c r="F124" s="19"/>
      <c r="G124" s="19"/>
      <c r="H124" s="19"/>
    </row>
    <row r="125" spans="2:8" hidden="1">
      <c r="B125" s="1071" t="s">
        <v>34</v>
      </c>
      <c r="C125" s="1071"/>
      <c r="D125" s="1071"/>
      <c r="E125" s="1071"/>
      <c r="F125" s="1071"/>
      <c r="G125" s="1071"/>
      <c r="H125" s="1071"/>
    </row>
    <row r="126" spans="2:8" ht="15" hidden="1" customHeight="1">
      <c r="B126" s="1069" t="s">
        <v>35</v>
      </c>
      <c r="C126" s="1069"/>
      <c r="D126" s="1070"/>
      <c r="E126" s="1070"/>
      <c r="F126" s="1070"/>
      <c r="G126" s="1070"/>
      <c r="H126" s="1070"/>
    </row>
    <row r="127" spans="2:8" ht="15" hidden="1" customHeight="1">
      <c r="B127" s="1069" t="s">
        <v>36</v>
      </c>
      <c r="C127" s="1069"/>
      <c r="D127" s="1070"/>
      <c r="E127" s="1070"/>
      <c r="F127" s="1070"/>
      <c r="G127" s="1070"/>
      <c r="H127" s="1070"/>
    </row>
    <row r="128" spans="2:8" hidden="1">
      <c r="B128" s="1069" t="s">
        <v>37</v>
      </c>
      <c r="C128" s="1069"/>
      <c r="D128" s="1070"/>
      <c r="E128" s="1070"/>
      <c r="F128" s="1070"/>
      <c r="G128" s="1070"/>
      <c r="H128" s="1070"/>
    </row>
    <row r="129" spans="2:8" hidden="1">
      <c r="B129" s="11"/>
      <c r="C129" s="11"/>
      <c r="D129" s="11"/>
      <c r="E129" s="11"/>
      <c r="F129" s="11"/>
      <c r="G129" s="11"/>
      <c r="H129" s="11"/>
    </row>
    <row r="130" spans="2:8" ht="15" hidden="1" customHeight="1">
      <c r="B130" s="1071" t="s">
        <v>23</v>
      </c>
      <c r="C130" s="1071"/>
      <c r="D130" s="1071"/>
      <c r="E130" s="1071"/>
      <c r="F130" s="1071"/>
      <c r="G130" s="1071"/>
      <c r="H130" s="1071"/>
    </row>
    <row r="131" spans="2:8" ht="75" hidden="1" customHeight="1">
      <c r="B131" s="1075"/>
      <c r="C131" s="1075"/>
      <c r="D131" s="1075"/>
      <c r="E131" s="1075"/>
      <c r="F131" s="1075"/>
      <c r="G131" s="1075"/>
      <c r="H131" s="1075"/>
    </row>
    <row r="132" spans="2:8" hidden="1">
      <c r="B132" s="33"/>
      <c r="C132" s="34"/>
      <c r="D132" s="1077"/>
      <c r="E132" s="1077"/>
      <c r="F132" s="1077"/>
      <c r="G132" s="1077"/>
      <c r="H132" s="1077"/>
    </row>
    <row r="133" spans="2:8" hidden="1"/>
    <row r="134" spans="2:8" ht="15.75" hidden="1">
      <c r="B134" s="1074" t="s">
        <v>1064</v>
      </c>
      <c r="C134" s="1074"/>
      <c r="D134" s="1074"/>
      <c r="E134" s="19"/>
      <c r="F134" s="361" t="s">
        <v>1065</v>
      </c>
      <c r="G134" s="1072" t="s">
        <v>930</v>
      </c>
      <c r="H134" s="1073"/>
    </row>
    <row r="135" spans="2:8" hidden="1">
      <c r="C135" s="18"/>
      <c r="D135" s="17"/>
      <c r="E135" s="19"/>
      <c r="F135" s="19"/>
      <c r="G135" s="19"/>
      <c r="H135" s="19"/>
    </row>
    <row r="136" spans="2:8" hidden="1">
      <c r="D136" s="356">
        <v>2020</v>
      </c>
      <c r="E136" s="356">
        <v>2021</v>
      </c>
      <c r="F136" s="356">
        <v>2022</v>
      </c>
      <c r="G136" s="356">
        <v>2023</v>
      </c>
      <c r="H136" s="356">
        <v>2024</v>
      </c>
    </row>
    <row r="137" spans="2:8" hidden="1">
      <c r="D137" s="358" t="s">
        <v>30</v>
      </c>
      <c r="E137" s="358" t="s">
        <v>30</v>
      </c>
      <c r="F137" s="358" t="s">
        <v>30</v>
      </c>
      <c r="G137" s="358" t="s">
        <v>30</v>
      </c>
      <c r="H137" s="358" t="s">
        <v>30</v>
      </c>
    </row>
    <row r="138" spans="2:8" ht="30" hidden="1">
      <c r="B138" s="1071" t="s">
        <v>31</v>
      </c>
      <c r="C138" s="359" t="s">
        <v>33</v>
      </c>
      <c r="D138" s="357"/>
      <c r="E138" s="357"/>
      <c r="F138" s="357"/>
      <c r="G138" s="357"/>
      <c r="H138" s="357"/>
    </row>
    <row r="139" spans="2:8" ht="75" hidden="1">
      <c r="B139" s="1071"/>
      <c r="C139" s="360" t="s">
        <v>20</v>
      </c>
      <c r="D139" s="1070"/>
      <c r="E139" s="1070"/>
      <c r="F139" s="1070"/>
      <c r="G139" s="1070"/>
      <c r="H139" s="1070"/>
    </row>
    <row r="140" spans="2:8" hidden="1">
      <c r="B140" s="17"/>
      <c r="C140" s="17"/>
      <c r="D140" s="19"/>
      <c r="E140" s="19"/>
      <c r="F140" s="19"/>
      <c r="G140" s="19"/>
      <c r="H140" s="19"/>
    </row>
    <row r="141" spans="2:8" hidden="1">
      <c r="B141" s="1071" t="s">
        <v>34</v>
      </c>
      <c r="C141" s="1071"/>
      <c r="D141" s="1071"/>
      <c r="E141" s="1071"/>
      <c r="F141" s="1071"/>
      <c r="G141" s="1071"/>
      <c r="H141" s="1071"/>
    </row>
    <row r="142" spans="2:8" ht="15" hidden="1" customHeight="1">
      <c r="B142" s="1069" t="s">
        <v>35</v>
      </c>
      <c r="C142" s="1069"/>
      <c r="D142" s="1070"/>
      <c r="E142" s="1070"/>
      <c r="F142" s="1070"/>
      <c r="G142" s="1070"/>
      <c r="H142" s="1070"/>
    </row>
    <row r="143" spans="2:8" ht="15" hidden="1" customHeight="1">
      <c r="B143" s="1069" t="s">
        <v>36</v>
      </c>
      <c r="C143" s="1069"/>
      <c r="D143" s="1070"/>
      <c r="E143" s="1070"/>
      <c r="F143" s="1070"/>
      <c r="G143" s="1070"/>
      <c r="H143" s="1070"/>
    </row>
    <row r="144" spans="2:8" hidden="1">
      <c r="B144" s="1069" t="s">
        <v>37</v>
      </c>
      <c r="C144" s="1069"/>
      <c r="D144" s="1070"/>
      <c r="E144" s="1070"/>
      <c r="F144" s="1070"/>
      <c r="G144" s="1070"/>
      <c r="H144" s="1070"/>
    </row>
    <row r="145" spans="2:8" hidden="1">
      <c r="B145" s="11"/>
      <c r="C145" s="11"/>
      <c r="D145" s="11"/>
      <c r="E145" s="11"/>
      <c r="F145" s="11"/>
      <c r="G145" s="11"/>
      <c r="H145" s="11"/>
    </row>
    <row r="146" spans="2:8" ht="15" hidden="1" customHeight="1">
      <c r="B146" s="1071" t="s">
        <v>23</v>
      </c>
      <c r="C146" s="1071"/>
      <c r="D146" s="1071"/>
      <c r="E146" s="1071"/>
      <c r="F146" s="1071"/>
      <c r="G146" s="1071"/>
      <c r="H146" s="1071"/>
    </row>
    <row r="147" spans="2:8" ht="75" hidden="1" customHeight="1">
      <c r="B147" s="1075"/>
      <c r="C147" s="1075"/>
      <c r="D147" s="1075"/>
      <c r="E147" s="1075"/>
      <c r="F147" s="1075"/>
      <c r="G147" s="1075"/>
      <c r="H147" s="1075"/>
    </row>
    <row r="148" spans="2:8" hidden="1">
      <c r="B148" s="33"/>
      <c r="C148" s="34"/>
      <c r="D148" s="1077"/>
      <c r="E148" s="1077"/>
      <c r="F148" s="1077"/>
      <c r="G148" s="1077"/>
      <c r="H148" s="1077"/>
    </row>
    <row r="149" spans="2:8" hidden="1"/>
    <row r="150" spans="2:8" ht="15.75" hidden="1">
      <c r="B150" s="1074" t="s">
        <v>1064</v>
      </c>
      <c r="C150" s="1074"/>
      <c r="D150" s="1074"/>
      <c r="E150" s="19"/>
      <c r="F150" s="361" t="s">
        <v>1065</v>
      </c>
      <c r="G150" s="1072" t="s">
        <v>930</v>
      </c>
      <c r="H150" s="1073"/>
    </row>
    <row r="151" spans="2:8" hidden="1">
      <c r="C151" s="18"/>
      <c r="D151" s="17"/>
      <c r="E151" s="19"/>
      <c r="F151" s="19"/>
      <c r="G151" s="19"/>
      <c r="H151" s="19"/>
    </row>
    <row r="152" spans="2:8" hidden="1">
      <c r="D152" s="356">
        <v>2020</v>
      </c>
      <c r="E152" s="356">
        <v>2021</v>
      </c>
      <c r="F152" s="356">
        <v>2022</v>
      </c>
      <c r="G152" s="356">
        <v>2023</v>
      </c>
      <c r="H152" s="356">
        <v>2024</v>
      </c>
    </row>
    <row r="153" spans="2:8" hidden="1">
      <c r="D153" s="358" t="s">
        <v>30</v>
      </c>
      <c r="E153" s="358" t="s">
        <v>30</v>
      </c>
      <c r="F153" s="358" t="s">
        <v>30</v>
      </c>
      <c r="G153" s="358" t="s">
        <v>30</v>
      </c>
      <c r="H153" s="358" t="s">
        <v>30</v>
      </c>
    </row>
    <row r="154" spans="2:8" ht="30" hidden="1">
      <c r="B154" s="1071" t="s">
        <v>31</v>
      </c>
      <c r="C154" s="359" t="s">
        <v>33</v>
      </c>
      <c r="D154" s="357"/>
      <c r="E154" s="357"/>
      <c r="F154" s="357"/>
      <c r="G154" s="357"/>
      <c r="H154" s="357"/>
    </row>
    <row r="155" spans="2:8" ht="75" hidden="1">
      <c r="B155" s="1071"/>
      <c r="C155" s="360" t="s">
        <v>20</v>
      </c>
      <c r="D155" s="1070"/>
      <c r="E155" s="1070"/>
      <c r="F155" s="1070"/>
      <c r="G155" s="1070"/>
      <c r="H155" s="1070"/>
    </row>
    <row r="156" spans="2:8" hidden="1">
      <c r="B156" s="17"/>
      <c r="C156" s="17"/>
      <c r="D156" s="19"/>
      <c r="E156" s="19"/>
      <c r="F156" s="19"/>
      <c r="G156" s="19"/>
      <c r="H156" s="19"/>
    </row>
    <row r="157" spans="2:8" hidden="1">
      <c r="B157" s="1071" t="s">
        <v>34</v>
      </c>
      <c r="C157" s="1071"/>
      <c r="D157" s="1071"/>
      <c r="E157" s="1071"/>
      <c r="F157" s="1071"/>
      <c r="G157" s="1071"/>
      <c r="H157" s="1071"/>
    </row>
    <row r="158" spans="2:8" ht="15" hidden="1" customHeight="1">
      <c r="B158" s="1069" t="s">
        <v>35</v>
      </c>
      <c r="C158" s="1069"/>
      <c r="D158" s="1070"/>
      <c r="E158" s="1070"/>
      <c r="F158" s="1070"/>
      <c r="G158" s="1070"/>
      <c r="H158" s="1070"/>
    </row>
    <row r="159" spans="2:8" ht="15" hidden="1" customHeight="1">
      <c r="B159" s="1069" t="s">
        <v>36</v>
      </c>
      <c r="C159" s="1069"/>
      <c r="D159" s="1070"/>
      <c r="E159" s="1070"/>
      <c r="F159" s="1070"/>
      <c r="G159" s="1070"/>
      <c r="H159" s="1070"/>
    </row>
    <row r="160" spans="2:8" hidden="1">
      <c r="B160" s="1069" t="s">
        <v>37</v>
      </c>
      <c r="C160" s="1069"/>
      <c r="D160" s="1070"/>
      <c r="E160" s="1070"/>
      <c r="F160" s="1070"/>
      <c r="G160" s="1070"/>
      <c r="H160" s="1070"/>
    </row>
    <row r="161" spans="2:8" hidden="1">
      <c r="B161" s="11"/>
      <c r="C161" s="11"/>
      <c r="D161" s="11"/>
      <c r="E161" s="11"/>
      <c r="F161" s="11"/>
      <c r="G161" s="11"/>
      <c r="H161" s="11"/>
    </row>
    <row r="162" spans="2:8" ht="15" hidden="1" customHeight="1">
      <c r="B162" s="1071" t="s">
        <v>23</v>
      </c>
      <c r="C162" s="1071"/>
      <c r="D162" s="1071"/>
      <c r="E162" s="1071"/>
      <c r="F162" s="1071"/>
      <c r="G162" s="1071"/>
      <c r="H162" s="1071"/>
    </row>
    <row r="163" spans="2:8" ht="75" hidden="1" customHeight="1">
      <c r="B163" s="1075"/>
      <c r="C163" s="1075"/>
      <c r="D163" s="1075"/>
      <c r="E163" s="1075"/>
      <c r="F163" s="1075"/>
      <c r="G163" s="1075"/>
      <c r="H163" s="1075"/>
    </row>
    <row r="164" spans="2:8" hidden="1">
      <c r="B164" s="33"/>
      <c r="C164" s="34"/>
      <c r="D164" s="1077"/>
      <c r="E164" s="1077"/>
      <c r="F164" s="1077"/>
      <c r="G164" s="1077"/>
      <c r="H164" s="1077"/>
    </row>
    <row r="165" spans="2:8" hidden="1"/>
    <row r="166" spans="2:8" ht="15.75" hidden="1">
      <c r="B166" s="1074" t="s">
        <v>1064</v>
      </c>
      <c r="C166" s="1074"/>
      <c r="D166" s="1074"/>
      <c r="E166" s="19"/>
      <c r="F166" s="361" t="s">
        <v>1065</v>
      </c>
      <c r="G166" s="1072" t="s">
        <v>930</v>
      </c>
      <c r="H166" s="1073"/>
    </row>
    <row r="167" spans="2:8" hidden="1">
      <c r="C167" s="18"/>
      <c r="D167" s="17"/>
      <c r="E167" s="19"/>
      <c r="F167" s="19"/>
      <c r="G167" s="19"/>
      <c r="H167" s="19"/>
    </row>
    <row r="168" spans="2:8" hidden="1">
      <c r="D168" s="356">
        <v>2020</v>
      </c>
      <c r="E168" s="356">
        <v>2021</v>
      </c>
      <c r="F168" s="356">
        <v>2022</v>
      </c>
      <c r="G168" s="356">
        <v>2023</v>
      </c>
      <c r="H168" s="356">
        <v>2024</v>
      </c>
    </row>
    <row r="169" spans="2:8" hidden="1">
      <c r="D169" s="358" t="s">
        <v>30</v>
      </c>
      <c r="E169" s="358" t="s">
        <v>30</v>
      </c>
      <c r="F169" s="358" t="s">
        <v>30</v>
      </c>
      <c r="G169" s="358" t="s">
        <v>30</v>
      </c>
      <c r="H169" s="358" t="s">
        <v>30</v>
      </c>
    </row>
    <row r="170" spans="2:8" ht="30" hidden="1">
      <c r="B170" s="1071" t="s">
        <v>31</v>
      </c>
      <c r="C170" s="359" t="s">
        <v>33</v>
      </c>
      <c r="D170" s="357"/>
      <c r="E170" s="357"/>
      <c r="F170" s="357"/>
      <c r="G170" s="357"/>
      <c r="H170" s="357"/>
    </row>
    <row r="171" spans="2:8" ht="75" hidden="1">
      <c r="B171" s="1071"/>
      <c r="C171" s="360" t="s">
        <v>20</v>
      </c>
      <c r="D171" s="1070"/>
      <c r="E171" s="1070"/>
      <c r="F171" s="1070"/>
      <c r="G171" s="1070"/>
      <c r="H171" s="1070"/>
    </row>
    <row r="172" spans="2:8" hidden="1">
      <c r="B172" s="17"/>
      <c r="C172" s="17"/>
      <c r="D172" s="19"/>
      <c r="E172" s="19"/>
      <c r="F172" s="19"/>
      <c r="G172" s="19"/>
      <c r="H172" s="19"/>
    </row>
    <row r="173" spans="2:8" hidden="1">
      <c r="B173" s="1071" t="s">
        <v>34</v>
      </c>
      <c r="C173" s="1071"/>
      <c r="D173" s="1071"/>
      <c r="E173" s="1071"/>
      <c r="F173" s="1071"/>
      <c r="G173" s="1071"/>
      <c r="H173" s="1071"/>
    </row>
    <row r="174" spans="2:8" ht="15" hidden="1" customHeight="1">
      <c r="B174" s="1069" t="s">
        <v>35</v>
      </c>
      <c r="C174" s="1069"/>
      <c r="D174" s="1070"/>
      <c r="E174" s="1070"/>
      <c r="F174" s="1070"/>
      <c r="G174" s="1070"/>
      <c r="H174" s="1070"/>
    </row>
    <row r="175" spans="2:8" ht="15" hidden="1" customHeight="1">
      <c r="B175" s="1069" t="s">
        <v>36</v>
      </c>
      <c r="C175" s="1069"/>
      <c r="D175" s="1070"/>
      <c r="E175" s="1070"/>
      <c r="F175" s="1070"/>
      <c r="G175" s="1070"/>
      <c r="H175" s="1070"/>
    </row>
    <row r="176" spans="2:8" hidden="1">
      <c r="B176" s="1069" t="s">
        <v>37</v>
      </c>
      <c r="C176" s="1069"/>
      <c r="D176" s="1070"/>
      <c r="E176" s="1070"/>
      <c r="F176" s="1070"/>
      <c r="G176" s="1070"/>
      <c r="H176" s="1070"/>
    </row>
    <row r="177" spans="2:8" hidden="1">
      <c r="B177" s="11"/>
      <c r="C177" s="11"/>
      <c r="D177" s="11"/>
      <c r="E177" s="11"/>
      <c r="F177" s="11"/>
      <c r="G177" s="11"/>
      <c r="H177" s="11"/>
    </row>
    <row r="178" spans="2:8" ht="15" hidden="1" customHeight="1">
      <c r="B178" s="1071" t="s">
        <v>23</v>
      </c>
      <c r="C178" s="1071"/>
      <c r="D178" s="1071"/>
      <c r="E178" s="1071"/>
      <c r="F178" s="1071"/>
      <c r="G178" s="1071"/>
      <c r="H178" s="1071"/>
    </row>
    <row r="179" spans="2:8" ht="75" hidden="1" customHeight="1">
      <c r="B179" s="1075"/>
      <c r="C179" s="1075"/>
      <c r="D179" s="1075"/>
      <c r="E179" s="1075"/>
      <c r="F179" s="1075"/>
      <c r="G179" s="1075"/>
      <c r="H179" s="1075"/>
    </row>
    <row r="180" spans="2:8" hidden="1">
      <c r="B180" s="33"/>
      <c r="C180" s="34"/>
      <c r="D180" s="1077"/>
      <c r="E180" s="1077"/>
      <c r="F180" s="1077"/>
      <c r="G180" s="1077"/>
      <c r="H180" s="1077"/>
    </row>
    <row r="181" spans="2:8" hidden="1"/>
    <row r="182" spans="2:8" ht="15.75" hidden="1">
      <c r="B182" s="1074" t="s">
        <v>1064</v>
      </c>
      <c r="C182" s="1074"/>
      <c r="D182" s="1074"/>
      <c r="E182" s="19"/>
      <c r="F182" s="361" t="s">
        <v>1065</v>
      </c>
      <c r="G182" s="1072" t="s">
        <v>930</v>
      </c>
      <c r="H182" s="1073"/>
    </row>
    <row r="183" spans="2:8" hidden="1">
      <c r="C183" s="18"/>
      <c r="D183" s="17"/>
      <c r="E183" s="19"/>
      <c r="F183" s="19"/>
      <c r="G183" s="19"/>
      <c r="H183" s="19"/>
    </row>
    <row r="184" spans="2:8" hidden="1">
      <c r="D184" s="356">
        <v>2020</v>
      </c>
      <c r="E184" s="356">
        <v>2021</v>
      </c>
      <c r="F184" s="356">
        <v>2022</v>
      </c>
      <c r="G184" s="356">
        <v>2023</v>
      </c>
      <c r="H184" s="356">
        <v>2024</v>
      </c>
    </row>
    <row r="185" spans="2:8" hidden="1">
      <c r="D185" s="358" t="s">
        <v>30</v>
      </c>
      <c r="E185" s="358" t="s">
        <v>30</v>
      </c>
      <c r="F185" s="358" t="s">
        <v>30</v>
      </c>
      <c r="G185" s="358" t="s">
        <v>30</v>
      </c>
      <c r="H185" s="358" t="s">
        <v>30</v>
      </c>
    </row>
    <row r="186" spans="2:8" ht="30" hidden="1">
      <c r="B186" s="1071" t="s">
        <v>31</v>
      </c>
      <c r="C186" s="359" t="s">
        <v>33</v>
      </c>
      <c r="D186" s="357"/>
      <c r="E186" s="357"/>
      <c r="F186" s="357"/>
      <c r="G186" s="357"/>
      <c r="H186" s="357"/>
    </row>
    <row r="187" spans="2:8" ht="75" hidden="1">
      <c r="B187" s="1071"/>
      <c r="C187" s="360" t="s">
        <v>20</v>
      </c>
      <c r="D187" s="1070"/>
      <c r="E187" s="1070"/>
      <c r="F187" s="1070"/>
      <c r="G187" s="1070"/>
      <c r="H187" s="1070"/>
    </row>
    <row r="188" spans="2:8" hidden="1">
      <c r="B188" s="17"/>
      <c r="C188" s="17"/>
      <c r="D188" s="19"/>
      <c r="E188" s="19"/>
      <c r="F188" s="19"/>
      <c r="G188" s="19"/>
      <c r="H188" s="19"/>
    </row>
    <row r="189" spans="2:8" hidden="1">
      <c r="B189" s="1071" t="s">
        <v>34</v>
      </c>
      <c r="C189" s="1071"/>
      <c r="D189" s="1071"/>
      <c r="E189" s="1071"/>
      <c r="F189" s="1071"/>
      <c r="G189" s="1071"/>
      <c r="H189" s="1071"/>
    </row>
    <row r="190" spans="2:8" ht="15" hidden="1" customHeight="1">
      <c r="B190" s="1069" t="s">
        <v>35</v>
      </c>
      <c r="C190" s="1069"/>
      <c r="D190" s="1070"/>
      <c r="E190" s="1070"/>
      <c r="F190" s="1070"/>
      <c r="G190" s="1070"/>
      <c r="H190" s="1070"/>
    </row>
    <row r="191" spans="2:8" ht="15" hidden="1" customHeight="1">
      <c r="B191" s="1069" t="s">
        <v>36</v>
      </c>
      <c r="C191" s="1069"/>
      <c r="D191" s="1070"/>
      <c r="E191" s="1070"/>
      <c r="F191" s="1070"/>
      <c r="G191" s="1070"/>
      <c r="H191" s="1070"/>
    </row>
    <row r="192" spans="2:8" hidden="1">
      <c r="B192" s="1069" t="s">
        <v>37</v>
      </c>
      <c r="C192" s="1069"/>
      <c r="D192" s="1070"/>
      <c r="E192" s="1070"/>
      <c r="F192" s="1070"/>
      <c r="G192" s="1070"/>
      <c r="H192" s="1070"/>
    </row>
    <row r="193" spans="2:8" hidden="1">
      <c r="B193" s="11"/>
      <c r="C193" s="11"/>
      <c r="D193" s="11"/>
      <c r="E193" s="11"/>
      <c r="F193" s="11"/>
      <c r="G193" s="11"/>
      <c r="H193" s="11"/>
    </row>
    <row r="194" spans="2:8" ht="15" hidden="1" customHeight="1">
      <c r="B194" s="1071" t="s">
        <v>23</v>
      </c>
      <c r="C194" s="1071"/>
      <c r="D194" s="1071"/>
      <c r="E194" s="1071"/>
      <c r="F194" s="1071"/>
      <c r="G194" s="1071"/>
      <c r="H194" s="1071"/>
    </row>
    <row r="195" spans="2:8" ht="75" hidden="1" customHeight="1">
      <c r="B195" s="1075"/>
      <c r="C195" s="1075"/>
      <c r="D195" s="1075"/>
      <c r="E195" s="1075"/>
      <c r="F195" s="1075"/>
      <c r="G195" s="1075"/>
      <c r="H195" s="1075"/>
    </row>
    <row r="196" spans="2:8" hidden="1">
      <c r="B196" s="33"/>
      <c r="C196" s="34"/>
      <c r="D196" s="1077"/>
      <c r="E196" s="1077"/>
      <c r="F196" s="1077"/>
      <c r="G196" s="1077"/>
      <c r="H196" s="1077"/>
    </row>
    <row r="197" spans="2:8" hidden="1"/>
  </sheetData>
  <sheetProtection formatCells="0" formatColumns="0" formatRows="0" insertHyperlinks="0"/>
  <mergeCells count="172">
    <mergeCell ref="B182:D182"/>
    <mergeCell ref="G182:H182"/>
    <mergeCell ref="B192:C192"/>
    <mergeCell ref="D192:H192"/>
    <mergeCell ref="B194:H194"/>
    <mergeCell ref="B195:H195"/>
    <mergeCell ref="D196:H196"/>
    <mergeCell ref="B186:B187"/>
    <mergeCell ref="D187:H187"/>
    <mergeCell ref="B189:H189"/>
    <mergeCell ref="B190:C190"/>
    <mergeCell ref="D190:H190"/>
    <mergeCell ref="B191:C191"/>
    <mergeCell ref="D191:H191"/>
    <mergeCell ref="B166:D166"/>
    <mergeCell ref="G166:H166"/>
    <mergeCell ref="B176:C176"/>
    <mergeCell ref="D176:H176"/>
    <mergeCell ref="B178:H178"/>
    <mergeCell ref="B179:H179"/>
    <mergeCell ref="D180:H180"/>
    <mergeCell ref="B170:B171"/>
    <mergeCell ref="D171:H171"/>
    <mergeCell ref="B173:H173"/>
    <mergeCell ref="B174:C174"/>
    <mergeCell ref="D174:H174"/>
    <mergeCell ref="B175:C175"/>
    <mergeCell ref="D175:H175"/>
    <mergeCell ref="B150:D150"/>
    <mergeCell ref="G150:H150"/>
    <mergeCell ref="B160:C160"/>
    <mergeCell ref="D160:H160"/>
    <mergeCell ref="B162:H162"/>
    <mergeCell ref="B163:H163"/>
    <mergeCell ref="D164:H164"/>
    <mergeCell ref="B154:B155"/>
    <mergeCell ref="D155:H155"/>
    <mergeCell ref="B157:H157"/>
    <mergeCell ref="B158:C158"/>
    <mergeCell ref="D158:H158"/>
    <mergeCell ref="B159:C159"/>
    <mergeCell ref="D159:H159"/>
    <mergeCell ref="B134:D134"/>
    <mergeCell ref="G134:H134"/>
    <mergeCell ref="B144:C144"/>
    <mergeCell ref="D144:H144"/>
    <mergeCell ref="B146:H146"/>
    <mergeCell ref="B147:H147"/>
    <mergeCell ref="D148:H148"/>
    <mergeCell ref="B138:B139"/>
    <mergeCell ref="D139:H139"/>
    <mergeCell ref="B141:H141"/>
    <mergeCell ref="B142:C142"/>
    <mergeCell ref="D142:H142"/>
    <mergeCell ref="B143:C143"/>
    <mergeCell ref="D143:H143"/>
    <mergeCell ref="B118:D118"/>
    <mergeCell ref="G118:H118"/>
    <mergeCell ref="B128:C128"/>
    <mergeCell ref="D128:H128"/>
    <mergeCell ref="B130:H130"/>
    <mergeCell ref="B131:H131"/>
    <mergeCell ref="D132:H132"/>
    <mergeCell ref="B122:B123"/>
    <mergeCell ref="D123:H123"/>
    <mergeCell ref="B125:H125"/>
    <mergeCell ref="B126:C126"/>
    <mergeCell ref="D126:H126"/>
    <mergeCell ref="B127:C127"/>
    <mergeCell ref="D127:H127"/>
    <mergeCell ref="B102:D102"/>
    <mergeCell ref="G102:H102"/>
    <mergeCell ref="B112:C112"/>
    <mergeCell ref="D112:H112"/>
    <mergeCell ref="B114:H114"/>
    <mergeCell ref="B115:H115"/>
    <mergeCell ref="D116:H116"/>
    <mergeCell ref="B106:B107"/>
    <mergeCell ref="D107:H107"/>
    <mergeCell ref="B109:H109"/>
    <mergeCell ref="B110:C110"/>
    <mergeCell ref="D110:H110"/>
    <mergeCell ref="B111:C111"/>
    <mergeCell ref="D111:H111"/>
    <mergeCell ref="B86:D86"/>
    <mergeCell ref="G86:H86"/>
    <mergeCell ref="B96:C96"/>
    <mergeCell ref="D96:H96"/>
    <mergeCell ref="B98:H98"/>
    <mergeCell ref="B99:H99"/>
    <mergeCell ref="D100:H100"/>
    <mergeCell ref="B90:B91"/>
    <mergeCell ref="D91:H91"/>
    <mergeCell ref="B93:H93"/>
    <mergeCell ref="B94:C94"/>
    <mergeCell ref="D94:H94"/>
    <mergeCell ref="B95:C95"/>
    <mergeCell ref="D95:H95"/>
    <mergeCell ref="B70:D70"/>
    <mergeCell ref="G70:H70"/>
    <mergeCell ref="B80:C80"/>
    <mergeCell ref="D80:H80"/>
    <mergeCell ref="B82:H82"/>
    <mergeCell ref="B83:H83"/>
    <mergeCell ref="D84:H84"/>
    <mergeCell ref="B74:B75"/>
    <mergeCell ref="D75:H75"/>
    <mergeCell ref="B77:H77"/>
    <mergeCell ref="B78:C78"/>
    <mergeCell ref="D78:H78"/>
    <mergeCell ref="B79:C79"/>
    <mergeCell ref="D79:H79"/>
    <mergeCell ref="G54:H54"/>
    <mergeCell ref="B54:D54"/>
    <mergeCell ref="B64:C64"/>
    <mergeCell ref="D64:H64"/>
    <mergeCell ref="B66:H66"/>
    <mergeCell ref="B67:H67"/>
    <mergeCell ref="D68:H68"/>
    <mergeCell ref="B58:B59"/>
    <mergeCell ref="D59:H59"/>
    <mergeCell ref="B61:H61"/>
    <mergeCell ref="B62:C62"/>
    <mergeCell ref="D62:H62"/>
    <mergeCell ref="B63:C63"/>
    <mergeCell ref="D63:H63"/>
    <mergeCell ref="G38:H38"/>
    <mergeCell ref="B38:D38"/>
    <mergeCell ref="B48:C48"/>
    <mergeCell ref="D48:H48"/>
    <mergeCell ref="B50:H50"/>
    <mergeCell ref="B51:H51"/>
    <mergeCell ref="D52:H52"/>
    <mergeCell ref="B42:B43"/>
    <mergeCell ref="D43:H43"/>
    <mergeCell ref="B45:H45"/>
    <mergeCell ref="B46:C46"/>
    <mergeCell ref="D46:H46"/>
    <mergeCell ref="B47:C47"/>
    <mergeCell ref="D47:H47"/>
    <mergeCell ref="G22:H22"/>
    <mergeCell ref="B22:D22"/>
    <mergeCell ref="B32:C32"/>
    <mergeCell ref="D32:H32"/>
    <mergeCell ref="B34:H34"/>
    <mergeCell ref="B35:H35"/>
    <mergeCell ref="D36:H36"/>
    <mergeCell ref="B26:B27"/>
    <mergeCell ref="D27:H27"/>
    <mergeCell ref="B29:H29"/>
    <mergeCell ref="B30:C30"/>
    <mergeCell ref="D30:H30"/>
    <mergeCell ref="B31:C31"/>
    <mergeCell ref="D31:H31"/>
    <mergeCell ref="B19:H19"/>
    <mergeCell ref="D20:H20"/>
    <mergeCell ref="B10:B11"/>
    <mergeCell ref="D11:H11"/>
    <mergeCell ref="B13:H13"/>
    <mergeCell ref="B14:C14"/>
    <mergeCell ref="D14:H14"/>
    <mergeCell ref="B15:C15"/>
    <mergeCell ref="D15:H15"/>
    <mergeCell ref="B3:C3"/>
    <mergeCell ref="D3:H3"/>
    <mergeCell ref="B4:C4"/>
    <mergeCell ref="D4:H4"/>
    <mergeCell ref="B16:C16"/>
    <mergeCell ref="D16:H16"/>
    <mergeCell ref="B18:H18"/>
    <mergeCell ref="G6:H6"/>
    <mergeCell ref="B6:D6"/>
  </mergeCells>
  <conditionalFormatting sqref="D4:H4 G6:H6 G22:H22 G38:H38 G54:H54 G70:H70 G86:H86 G102:H102 G118:H118 G134:H134 G150:H150 G166:H166 G182:H182">
    <cfRule type="expression" dxfId="110" priority="1">
      <formula>$A$2="PRINT"</formula>
    </cfRule>
  </conditionalFormatting>
  <dataValidations count="3">
    <dataValidation type="list" allowBlank="1" showErrorMessage="1" sqref="D4:H4" xr:uid="{00000000-0002-0000-3400-000000000000}">
      <formula1>"Click to select number of additional KPIs,0,1,2,3,4,5,6,7,8,9,10,11,12"</formula1>
    </dataValidation>
    <dataValidation type="list" allowBlank="1" showErrorMessage="1" sqref="D3" xr:uid="{00000000-0002-0000-3400-000001000000}">
      <formula1>"Click on this cell and select the number of ANSPs in the FAB,1,2,3,4,5,6,7,8,9,10,11,12"</formula1>
    </dataValidation>
    <dataValidation type="list" allowBlank="1" showInputMessage="1" showErrorMessage="1" sqref="G6:H6 G22:H22 G38:H38 G54:H54 G70:H70 G86:H86 G102:H102 G118:H118 G134:H134 G150:H150 G166:H166 G182:H182" xr:uid="{00000000-0002-0000-3400-000002000000}">
      <formula1>"Select KPA,Safety,Environment,Capacity,Cost efficiency"</formula1>
    </dataValidation>
  </dataValidations>
  <pageMargins left="0.70866141732283472" right="0.70866141732283472" top="0.74803149606299213" bottom="0.74803149606299213" header="0.31496062992125984" footer="0.31496062992125984"/>
  <pageSetup paperSize="9" scale="71" fitToHeight="0" orientation="portrait" r:id="rId1"/>
  <headerFooter>
    <oddFooter>&amp;C&amp;P</oddFooter>
  </headerFooter>
  <drawing r:id="rId2"/>
  <picture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9">
    <tabColor theme="1"/>
    <pageSetUpPr fitToPage="1"/>
  </sheetPr>
  <dimension ref="A1:I17"/>
  <sheetViews>
    <sheetView showGridLines="0" zoomScaleNormal="100" workbookViewId="0">
      <selection activeCell="I39" sqref="I39"/>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16384" width="9.140625" style="10"/>
  </cols>
  <sheetData>
    <row r="1" spans="1:9" s="9" customFormat="1">
      <c r="A1" s="8"/>
      <c r="C1" s="36"/>
      <c r="D1" s="37"/>
    </row>
    <row r="2" spans="1:9" ht="45" customHeight="1">
      <c r="A2" s="104"/>
      <c r="B2" s="621" t="s">
        <v>1232</v>
      </c>
      <c r="C2" s="621"/>
      <c r="D2" s="621"/>
      <c r="E2" s="621"/>
      <c r="F2" s="621"/>
    </row>
    <row r="3" spans="1:9">
      <c r="B3" s="138"/>
      <c r="C3" s="139"/>
      <c r="D3" s="140"/>
      <c r="E3" s="138"/>
      <c r="F3" s="138"/>
    </row>
    <row r="4" spans="1:9">
      <c r="B4"/>
      <c r="C4"/>
      <c r="D4"/>
      <c r="E4"/>
      <c r="F4"/>
      <c r="G4"/>
      <c r="H4"/>
      <c r="I4"/>
    </row>
    <row r="5" spans="1:9" s="36" customFormat="1">
      <c r="A5" s="10"/>
      <c r="B5" s="76" t="s">
        <v>1188</v>
      </c>
      <c r="D5" s="37"/>
      <c r="E5" s="10"/>
      <c r="F5" s="10"/>
      <c r="G5" s="10"/>
      <c r="H5" s="10"/>
      <c r="I5" s="10"/>
    </row>
    <row r="6" spans="1:9" s="36" customFormat="1">
      <c r="A6" s="10"/>
      <c r="B6" s="111" t="s">
        <v>1189</v>
      </c>
      <c r="D6" s="37"/>
      <c r="E6" s="10"/>
      <c r="F6" s="10"/>
      <c r="G6" s="10"/>
      <c r="H6" s="10"/>
      <c r="I6" s="10"/>
    </row>
    <row r="7" spans="1:9" s="36" customFormat="1">
      <c r="A7" s="10"/>
      <c r="B7" s="111" t="s">
        <v>1192</v>
      </c>
      <c r="D7" s="37"/>
      <c r="E7" s="10"/>
      <c r="F7" s="10"/>
      <c r="G7" s="10"/>
      <c r="H7" s="10"/>
      <c r="I7" s="10"/>
    </row>
    <row r="8" spans="1:9" s="36" customFormat="1">
      <c r="A8" s="10"/>
      <c r="B8" s="111" t="s">
        <v>1193</v>
      </c>
      <c r="D8" s="37"/>
      <c r="E8" s="10"/>
      <c r="F8" s="10"/>
      <c r="G8" s="10"/>
      <c r="H8" s="10"/>
      <c r="I8" s="10"/>
    </row>
    <row r="9" spans="1:9" s="36" customFormat="1">
      <c r="A9" s="10"/>
      <c r="B9" s="111" t="s">
        <v>1194</v>
      </c>
      <c r="D9" s="37"/>
      <c r="E9" s="10"/>
      <c r="F9" s="10"/>
      <c r="G9" s="10"/>
      <c r="H9" s="10"/>
      <c r="I9" s="10"/>
    </row>
    <row r="10" spans="1:9" s="36" customFormat="1">
      <c r="A10" s="10"/>
      <c r="B10" s="112"/>
      <c r="D10" s="37"/>
      <c r="E10" s="10"/>
      <c r="F10" s="10"/>
      <c r="G10" s="10"/>
      <c r="H10" s="10"/>
      <c r="I10" s="10"/>
    </row>
    <row r="12" spans="1:9" s="36" customFormat="1">
      <c r="A12" s="10"/>
      <c r="B12" s="124"/>
      <c r="D12" s="37"/>
      <c r="E12" s="10"/>
      <c r="F12" s="10"/>
      <c r="G12" s="10"/>
      <c r="H12" s="10"/>
      <c r="I12" s="10"/>
    </row>
    <row r="13" spans="1:9" s="36" customFormat="1">
      <c r="A13" s="10"/>
      <c r="B13" s="123"/>
      <c r="D13" s="37"/>
      <c r="E13" s="10"/>
      <c r="F13" s="10"/>
      <c r="G13" s="10"/>
      <c r="H13" s="10"/>
      <c r="I13" s="10"/>
    </row>
    <row r="14" spans="1:9" s="36" customFormat="1">
      <c r="A14" s="10"/>
      <c r="B14" s="123"/>
      <c r="D14" s="37"/>
      <c r="E14" s="10"/>
      <c r="F14" s="10"/>
      <c r="G14" s="10"/>
      <c r="H14" s="10"/>
      <c r="I14" s="10"/>
    </row>
    <row r="15" spans="1:9" s="36" customFormat="1">
      <c r="A15" s="10"/>
      <c r="B15" s="123"/>
      <c r="D15" s="37"/>
      <c r="E15" s="10"/>
      <c r="F15" s="10"/>
      <c r="G15" s="10"/>
      <c r="H15" s="10"/>
      <c r="I15" s="10"/>
    </row>
    <row r="16" spans="1:9" s="36" customFormat="1">
      <c r="A16" s="10"/>
      <c r="B16" s="123"/>
      <c r="D16" s="37"/>
      <c r="E16" s="10"/>
      <c r="F16" s="10"/>
      <c r="G16" s="10"/>
      <c r="H16" s="10"/>
      <c r="I16" s="10"/>
    </row>
    <row r="17" spans="1:9" s="36" customFormat="1">
      <c r="A17" s="10"/>
      <c r="B17" s="123"/>
      <c r="D17" s="37"/>
      <c r="E17" s="10"/>
      <c r="F17" s="10"/>
      <c r="G17" s="10"/>
      <c r="H17" s="10"/>
      <c r="I17" s="10"/>
    </row>
  </sheetData>
  <sheetProtection formatCells="0" formatColumns="0" formatRows="0" insertHyperlinks="0"/>
  <mergeCells count="1">
    <mergeCell ref="B2:F2"/>
  </mergeCells>
  <hyperlinks>
    <hyperlink ref="B6" location="'3.6 Interdependencies'!B4" display="3.6.1 - Interdependencies and trade-offs between safety and other KPAs" xr:uid="{00000000-0004-0000-3500-000000000000}"/>
    <hyperlink ref="B7" location="'3.6 Interdependencies'!B23" display="3.6.2 - Interdependencies and trade-offs between capacity and environment" xr:uid="{00000000-0004-0000-3500-000001000000}"/>
    <hyperlink ref="B8" location="'3.6 Interdependencies'!B27" display="3.6.3 - Interdependencies and trade-offs between cost-efficiency and capacity" xr:uid="{00000000-0004-0000-3500-000002000000}"/>
    <hyperlink ref="B9" location="'3.6 Interdependencies'!B31" display="3.6.4 - Other interdependencies and trade-offs " xr:uid="{00000000-0004-0000-3500-000003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96">
    <tabColor theme="2" tint="-0.249977111117893"/>
    <pageSetUpPr fitToPage="1"/>
  </sheetPr>
  <dimension ref="A2:D34"/>
  <sheetViews>
    <sheetView showGridLines="0" topLeftCell="A25" zoomScaleNormal="100" workbookViewId="0">
      <selection activeCell="B31" sqref="B31"/>
    </sheetView>
  </sheetViews>
  <sheetFormatPr defaultColWidth="9.140625" defaultRowHeight="15"/>
  <cols>
    <col min="1" max="1" width="9.140625" style="3"/>
    <col min="2" max="2" width="115.7109375" style="3" customWidth="1"/>
    <col min="3" max="3" width="1.7109375" style="3" customWidth="1"/>
    <col min="4" max="16384" width="9.140625" style="3"/>
  </cols>
  <sheetData>
    <row r="2" spans="1:4" ht="36" customHeight="1">
      <c r="A2" s="103"/>
      <c r="B2" s="48" t="s">
        <v>1188</v>
      </c>
      <c r="C2" s="48"/>
    </row>
    <row r="4" spans="1:4" ht="18" thickBot="1">
      <c r="B4" s="32" t="s">
        <v>1189</v>
      </c>
    </row>
    <row r="5" spans="1:4" ht="15" customHeight="1">
      <c r="B5" s="192"/>
    </row>
    <row r="6" spans="1:4" ht="30" customHeight="1">
      <c r="B6" s="136" t="s">
        <v>1381</v>
      </c>
      <c r="C6" s="163"/>
    </row>
    <row r="7" spans="1:4" ht="81.75" customHeight="1">
      <c r="B7" s="571" t="s">
        <v>1903</v>
      </c>
      <c r="C7" s="163"/>
      <c r="D7" s="39"/>
    </row>
    <row r="8" spans="1:4" ht="15" customHeight="1">
      <c r="B8" s="300"/>
    </row>
    <row r="9" spans="1:4">
      <c r="B9" s="136" t="s">
        <v>899</v>
      </c>
      <c r="C9" s="163"/>
    </row>
    <row r="10" spans="1:4" ht="60" customHeight="1">
      <c r="B10" s="571" t="s">
        <v>1904</v>
      </c>
      <c r="C10" s="163"/>
      <c r="D10" s="39"/>
    </row>
    <row r="11" spans="1:4" ht="15" customHeight="1">
      <c r="B11" s="287"/>
    </row>
    <row r="12" spans="1:4" ht="30">
      <c r="B12" s="136" t="s">
        <v>900</v>
      </c>
      <c r="C12" s="163"/>
    </row>
    <row r="13" spans="1:4" ht="69" customHeight="1">
      <c r="B13" s="571" t="s">
        <v>1905</v>
      </c>
      <c r="C13" s="163"/>
      <c r="D13" s="39"/>
    </row>
    <row r="14" spans="1:4" ht="15" customHeight="1">
      <c r="B14" s="287"/>
    </row>
    <row r="15" spans="1:4" ht="30">
      <c r="B15" s="136" t="s">
        <v>1190</v>
      </c>
      <c r="C15" s="163"/>
    </row>
    <row r="16" spans="1:4" ht="83.25" customHeight="1">
      <c r="B16" s="571" t="s">
        <v>1906</v>
      </c>
      <c r="C16" s="163"/>
      <c r="D16" s="39"/>
    </row>
    <row r="17" spans="2:4" ht="15" customHeight="1">
      <c r="B17" s="287"/>
    </row>
    <row r="18" spans="2:4" ht="45">
      <c r="B18" s="136" t="s">
        <v>1191</v>
      </c>
      <c r="C18" s="163"/>
    </row>
    <row r="19" spans="2:4" ht="145.9" customHeight="1">
      <c r="B19" s="610" t="s">
        <v>1931</v>
      </c>
      <c r="C19" s="163"/>
      <c r="D19" s="39"/>
    </row>
    <row r="20" spans="2:4" ht="15" customHeight="1">
      <c r="B20" s="287"/>
    </row>
    <row r="21" spans="2:4" ht="18" thickBot="1">
      <c r="B21" s="32" t="s">
        <v>1192</v>
      </c>
    </row>
    <row r="22" spans="2:4" ht="15" customHeight="1">
      <c r="B22" s="192"/>
    </row>
    <row r="23" spans="2:4" ht="78.75" customHeight="1">
      <c r="B23" s="571" t="s">
        <v>1866</v>
      </c>
      <c r="C23" s="163"/>
      <c r="D23" s="39"/>
    </row>
    <row r="24" spans="2:4" ht="15" customHeight="1">
      <c r="B24" s="287"/>
    </row>
    <row r="25" spans="2:4" ht="18" thickBot="1">
      <c r="B25" s="32" t="s">
        <v>1193</v>
      </c>
    </row>
    <row r="26" spans="2:4" ht="15" customHeight="1">
      <c r="B26" s="192"/>
    </row>
    <row r="27" spans="2:4" ht="70.900000000000006" customHeight="1">
      <c r="B27" s="571" t="s">
        <v>1932</v>
      </c>
      <c r="C27" s="163"/>
      <c r="D27" s="39"/>
    </row>
    <row r="28" spans="2:4" ht="17.25">
      <c r="B28" s="287"/>
    </row>
    <row r="29" spans="2:4" ht="18" thickBot="1">
      <c r="B29" s="32" t="s">
        <v>1194</v>
      </c>
    </row>
    <row r="30" spans="2:4">
      <c r="B30" s="227"/>
    </row>
    <row r="31" spans="2:4" ht="78.75" customHeight="1">
      <c r="B31" s="481" t="s">
        <v>1867</v>
      </c>
      <c r="C31" s="163"/>
      <c r="D31" s="39"/>
    </row>
    <row r="34" spans="2:2">
      <c r="B34" s="58" t="s">
        <v>1495</v>
      </c>
    </row>
  </sheetData>
  <sheetProtection formatCells="0" formatColumns="0" formatRows="0" insertHyperlinks="0"/>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drawing r:id="rId2"/>
  <picture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2">
    <tabColor theme="1"/>
    <pageSetUpPr fitToPage="1"/>
  </sheetPr>
  <dimension ref="A1:H16"/>
  <sheetViews>
    <sheetView showGridLines="0"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16384" width="9.140625" style="10"/>
  </cols>
  <sheetData>
    <row r="1" spans="1:8" s="9" customFormat="1">
      <c r="A1" s="8"/>
      <c r="C1" s="36"/>
      <c r="D1" s="37"/>
    </row>
    <row r="2" spans="1:8" ht="21">
      <c r="A2" s="104"/>
      <c r="B2" s="621" t="s">
        <v>272</v>
      </c>
      <c r="C2" s="621"/>
      <c r="D2" s="621"/>
      <c r="E2" s="621"/>
      <c r="F2" s="621"/>
    </row>
    <row r="3" spans="1:8">
      <c r="B3" s="138"/>
      <c r="C3" s="139"/>
      <c r="D3" s="140"/>
      <c r="E3" s="138"/>
      <c r="F3" s="138"/>
    </row>
    <row r="4" spans="1:8">
      <c r="B4"/>
      <c r="C4"/>
      <c r="D4"/>
      <c r="E4"/>
      <c r="F4"/>
      <c r="G4"/>
      <c r="H4"/>
    </row>
    <row r="5" spans="1:8" ht="15" customHeight="1">
      <c r="B5" s="372" t="s">
        <v>1196</v>
      </c>
      <c r="C5"/>
      <c r="D5"/>
      <c r="E5"/>
      <c r="F5"/>
      <c r="G5"/>
      <c r="H5"/>
    </row>
    <row r="6" spans="1:8">
      <c r="B6" s="111" t="s">
        <v>1195</v>
      </c>
      <c r="C6"/>
      <c r="D6"/>
      <c r="E6"/>
      <c r="F6"/>
      <c r="G6"/>
    </row>
    <row r="7" spans="1:8">
      <c r="B7" s="111" t="s">
        <v>1197</v>
      </c>
      <c r="C7"/>
      <c r="D7"/>
      <c r="E7"/>
      <c r="F7"/>
      <c r="G7"/>
    </row>
    <row r="8" spans="1:8">
      <c r="C8"/>
      <c r="D8"/>
      <c r="E8"/>
      <c r="F8"/>
      <c r="G8"/>
      <c r="H8"/>
    </row>
    <row r="9" spans="1:8">
      <c r="B9" s="372" t="s">
        <v>302</v>
      </c>
      <c r="C9"/>
      <c r="D9"/>
      <c r="E9"/>
      <c r="F9"/>
      <c r="G9"/>
      <c r="H9"/>
    </row>
    <row r="10" spans="1:8">
      <c r="C10"/>
      <c r="D10"/>
      <c r="E10"/>
      <c r="F10"/>
      <c r="G10"/>
      <c r="H10"/>
    </row>
    <row r="11" spans="1:8">
      <c r="B11" s="372" t="s">
        <v>1001</v>
      </c>
      <c r="C11"/>
      <c r="D11"/>
      <c r="E11"/>
      <c r="F11"/>
      <c r="G11"/>
      <c r="H11"/>
    </row>
    <row r="12" spans="1:8">
      <c r="B12" s="109"/>
      <c r="C12"/>
      <c r="D12"/>
      <c r="E12"/>
      <c r="F12"/>
      <c r="G12"/>
      <c r="H12"/>
    </row>
    <row r="13" spans="1:8">
      <c r="B13"/>
      <c r="C13"/>
      <c r="D13"/>
      <c r="E13"/>
      <c r="F13"/>
      <c r="G13"/>
      <c r="H13"/>
    </row>
    <row r="14" spans="1:8">
      <c r="B14" s="124" t="s">
        <v>1183</v>
      </c>
      <c r="C14"/>
      <c r="D14"/>
      <c r="E14"/>
      <c r="F14"/>
      <c r="G14"/>
      <c r="H14"/>
    </row>
    <row r="15" spans="1:8">
      <c r="B15" s="123" t="s">
        <v>1199</v>
      </c>
      <c r="C15"/>
      <c r="D15"/>
      <c r="E15"/>
      <c r="F15"/>
      <c r="G15"/>
      <c r="H15"/>
    </row>
    <row r="16" spans="1:8">
      <c r="B16"/>
      <c r="C16"/>
      <c r="D16"/>
      <c r="E16"/>
      <c r="F16"/>
      <c r="G16"/>
      <c r="H16"/>
    </row>
  </sheetData>
  <sheetProtection formatCells="0" formatColumns="0" formatRows="0" insertHyperlinks="0"/>
  <mergeCells count="1">
    <mergeCell ref="B2:F2"/>
  </mergeCells>
  <hyperlinks>
    <hyperlink ref="B5" location="'4.1 Cross-border'!B2" display="4.1 - Cross-border initiatives" xr:uid="{00000000-0004-0000-3700-000000000000}"/>
    <hyperlink ref="B9" location="'4.2 SESAR-PCP'!B2" display="4.2 - Deployment of SESAR Common Projects" xr:uid="{00000000-0004-0000-3700-000001000000}"/>
    <hyperlink ref="B11" location="'4.3 Change management'!B2" display="4.3 - Change management" xr:uid="{00000000-0004-0000-3700-000002000000}"/>
    <hyperlink ref="B6" location="'4.1 Cross-border'!B6" display="4.1.1 - Planned or implemented cross-border initiatives at the level of ANSPs" xr:uid="{00000000-0004-0000-3700-000003000000}"/>
    <hyperlink ref="B7" location="'4.1 Cross-border'!B62" display="4.1.2 - Investment synergies achieved at FAB level or through other cross-border initiatives" xr:uid="{00000000-0004-0000-3700-000004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8">
    <tabColor theme="2" tint="-0.249977111117893"/>
    <pageSetUpPr fitToPage="1"/>
  </sheetPr>
  <dimension ref="A1:F65"/>
  <sheetViews>
    <sheetView showGridLines="0" zoomScaleNormal="100" workbookViewId="0">
      <selection activeCell="F62" sqref="F62"/>
    </sheetView>
  </sheetViews>
  <sheetFormatPr defaultColWidth="9.140625" defaultRowHeight="15"/>
  <cols>
    <col min="1" max="1" width="9.140625" style="4"/>
    <col min="2" max="2" width="33.7109375" style="4" customWidth="1"/>
    <col min="3" max="3" width="87.28515625" style="4" customWidth="1"/>
    <col min="4" max="4" width="1.7109375" style="4" customWidth="1"/>
    <col min="5" max="16384" width="9.140625" style="4"/>
  </cols>
  <sheetData>
    <row r="1" spans="1:6">
      <c r="E1" s="38"/>
      <c r="F1" s="38"/>
    </row>
    <row r="2" spans="1:6" ht="18.75" customHeight="1">
      <c r="A2" s="106"/>
      <c r="B2" s="636" t="s">
        <v>1196</v>
      </c>
      <c r="C2" s="636"/>
      <c r="E2" s="38"/>
      <c r="F2" s="38"/>
    </row>
    <row r="3" spans="1:6">
      <c r="B3" s="13"/>
      <c r="C3" s="13"/>
      <c r="E3" s="38"/>
      <c r="F3" s="38"/>
    </row>
    <row r="4" spans="1:6" s="3" customFormat="1" ht="18" thickBot="1">
      <c r="B4" s="32" t="s">
        <v>1195</v>
      </c>
      <c r="C4" s="32"/>
    </row>
    <row r="5" spans="1:6">
      <c r="B5" s="186"/>
      <c r="C5" s="186"/>
      <c r="E5" s="38"/>
      <c r="F5" s="38"/>
    </row>
    <row r="6" spans="1:6">
      <c r="B6" s="133" t="s">
        <v>282</v>
      </c>
      <c r="C6" s="497">
        <v>0</v>
      </c>
      <c r="D6" s="144"/>
    </row>
    <row r="7" spans="1:6">
      <c r="B7" s="187"/>
      <c r="C7" s="187"/>
    </row>
    <row r="8" spans="1:6" hidden="1">
      <c r="B8" s="673" t="s">
        <v>283</v>
      </c>
      <c r="C8" s="674"/>
      <c r="D8" s="144"/>
    </row>
    <row r="9" spans="1:6" hidden="1">
      <c r="B9" s="133" t="s">
        <v>294</v>
      </c>
      <c r="C9" s="290"/>
      <c r="D9" s="144"/>
    </row>
    <row r="10" spans="1:6" hidden="1">
      <c r="B10" s="133" t="s">
        <v>25</v>
      </c>
      <c r="C10" s="291"/>
      <c r="D10" s="146"/>
      <c r="F10" s="38"/>
    </row>
    <row r="11" spans="1:6" hidden="1">
      <c r="B11" s="133" t="s">
        <v>293</v>
      </c>
      <c r="C11" s="151"/>
      <c r="D11" s="144"/>
    </row>
    <row r="12" spans="1:6" hidden="1">
      <c r="B12" s="187"/>
      <c r="C12" s="187"/>
    </row>
    <row r="13" spans="1:6" hidden="1">
      <c r="B13" s="673" t="s">
        <v>284</v>
      </c>
      <c r="C13" s="674"/>
      <c r="D13" s="144"/>
    </row>
    <row r="14" spans="1:6" hidden="1">
      <c r="B14" s="133" t="s">
        <v>294</v>
      </c>
      <c r="C14" s="290"/>
      <c r="D14" s="144"/>
    </row>
    <row r="15" spans="1:6" hidden="1">
      <c r="B15" s="133" t="s">
        <v>25</v>
      </c>
      <c r="C15" s="291"/>
      <c r="D15" s="144"/>
    </row>
    <row r="16" spans="1:6" hidden="1">
      <c r="B16" s="133" t="s">
        <v>293</v>
      </c>
      <c r="C16" s="151"/>
      <c r="D16" s="144"/>
    </row>
    <row r="17" spans="2:4" hidden="1">
      <c r="B17" s="187"/>
      <c r="C17" s="187"/>
    </row>
    <row r="18" spans="2:4" hidden="1">
      <c r="B18" s="673" t="s">
        <v>285</v>
      </c>
      <c r="C18" s="674"/>
      <c r="D18" s="144"/>
    </row>
    <row r="19" spans="2:4" hidden="1">
      <c r="B19" s="133" t="s">
        <v>294</v>
      </c>
      <c r="C19" s="290"/>
      <c r="D19" s="144"/>
    </row>
    <row r="20" spans="2:4" hidden="1">
      <c r="B20" s="133" t="s">
        <v>25</v>
      </c>
      <c r="C20" s="291"/>
      <c r="D20" s="144"/>
    </row>
    <row r="21" spans="2:4" hidden="1">
      <c r="B21" s="133" t="s">
        <v>293</v>
      </c>
      <c r="C21" s="151"/>
      <c r="D21" s="144"/>
    </row>
    <row r="22" spans="2:4" hidden="1">
      <c r="B22" s="187"/>
      <c r="C22" s="187"/>
    </row>
    <row r="23" spans="2:4" hidden="1">
      <c r="B23" s="673" t="s">
        <v>286</v>
      </c>
      <c r="C23" s="674"/>
      <c r="D23" s="144"/>
    </row>
    <row r="24" spans="2:4" hidden="1">
      <c r="B24" s="133" t="s">
        <v>294</v>
      </c>
      <c r="C24" s="290"/>
      <c r="D24" s="144"/>
    </row>
    <row r="25" spans="2:4" hidden="1">
      <c r="B25" s="133" t="s">
        <v>25</v>
      </c>
      <c r="C25" s="291"/>
      <c r="D25" s="144"/>
    </row>
    <row r="26" spans="2:4" hidden="1">
      <c r="B26" s="133" t="s">
        <v>293</v>
      </c>
      <c r="C26" s="151"/>
      <c r="D26" s="144"/>
    </row>
    <row r="27" spans="2:4" hidden="1">
      <c r="B27" s="187"/>
      <c r="C27" s="187"/>
    </row>
    <row r="28" spans="2:4" hidden="1">
      <c r="B28" s="673" t="s">
        <v>287</v>
      </c>
      <c r="C28" s="674"/>
      <c r="D28" s="144"/>
    </row>
    <row r="29" spans="2:4" hidden="1">
      <c r="B29" s="133" t="s">
        <v>294</v>
      </c>
      <c r="C29" s="290"/>
      <c r="D29" s="144"/>
    </row>
    <row r="30" spans="2:4" hidden="1">
      <c r="B30" s="133" t="s">
        <v>25</v>
      </c>
      <c r="C30" s="291"/>
      <c r="D30" s="144"/>
    </row>
    <row r="31" spans="2:4" hidden="1">
      <c r="B31" s="133" t="s">
        <v>293</v>
      </c>
      <c r="C31" s="151"/>
      <c r="D31" s="144"/>
    </row>
    <row r="32" spans="2:4" hidden="1">
      <c r="B32" s="187"/>
      <c r="C32" s="187"/>
    </row>
    <row r="33" spans="2:4" hidden="1">
      <c r="B33" s="673" t="s">
        <v>288</v>
      </c>
      <c r="C33" s="674"/>
      <c r="D33" s="144"/>
    </row>
    <row r="34" spans="2:4" hidden="1">
      <c r="B34" s="133" t="s">
        <v>294</v>
      </c>
      <c r="C34" s="290"/>
      <c r="D34" s="144"/>
    </row>
    <row r="35" spans="2:4" hidden="1">
      <c r="B35" s="133" t="s">
        <v>25</v>
      </c>
      <c r="C35" s="291"/>
      <c r="D35" s="144"/>
    </row>
    <row r="36" spans="2:4" hidden="1">
      <c r="B36" s="133" t="s">
        <v>293</v>
      </c>
      <c r="C36" s="151"/>
      <c r="D36" s="144"/>
    </row>
    <row r="37" spans="2:4" hidden="1">
      <c r="B37" s="187"/>
      <c r="C37" s="187"/>
    </row>
    <row r="38" spans="2:4" hidden="1">
      <c r="B38" s="673" t="s">
        <v>289</v>
      </c>
      <c r="C38" s="674"/>
      <c r="D38" s="144"/>
    </row>
    <row r="39" spans="2:4" hidden="1">
      <c r="B39" s="133" t="s">
        <v>294</v>
      </c>
      <c r="C39" s="290"/>
      <c r="D39" s="144"/>
    </row>
    <row r="40" spans="2:4" hidden="1">
      <c r="B40" s="133" t="s">
        <v>25</v>
      </c>
      <c r="C40" s="291"/>
      <c r="D40" s="144"/>
    </row>
    <row r="41" spans="2:4" hidden="1">
      <c r="B41" s="133" t="s">
        <v>293</v>
      </c>
      <c r="C41" s="151"/>
      <c r="D41" s="144"/>
    </row>
    <row r="42" spans="2:4" hidden="1">
      <c r="B42" s="187"/>
      <c r="C42" s="187"/>
    </row>
    <row r="43" spans="2:4" hidden="1">
      <c r="B43" s="673" t="s">
        <v>290</v>
      </c>
      <c r="C43" s="674"/>
      <c r="D43" s="144"/>
    </row>
    <row r="44" spans="2:4" hidden="1">
      <c r="B44" s="133" t="s">
        <v>294</v>
      </c>
      <c r="C44" s="290"/>
      <c r="D44" s="144"/>
    </row>
    <row r="45" spans="2:4" hidden="1">
      <c r="B45" s="133" t="s">
        <v>25</v>
      </c>
      <c r="C45" s="291"/>
      <c r="D45" s="144"/>
    </row>
    <row r="46" spans="2:4" hidden="1">
      <c r="B46" s="133" t="s">
        <v>293</v>
      </c>
      <c r="C46" s="151"/>
      <c r="D46" s="144"/>
    </row>
    <row r="47" spans="2:4" hidden="1">
      <c r="B47" s="187"/>
      <c r="C47" s="187"/>
    </row>
    <row r="48" spans="2:4" hidden="1">
      <c r="B48" s="673" t="s">
        <v>291</v>
      </c>
      <c r="C48" s="674"/>
      <c r="D48" s="144"/>
    </row>
    <row r="49" spans="2:6" hidden="1">
      <c r="B49" s="133" t="s">
        <v>294</v>
      </c>
      <c r="C49" s="290"/>
      <c r="D49" s="144"/>
    </row>
    <row r="50" spans="2:6" hidden="1">
      <c r="B50" s="133" t="s">
        <v>25</v>
      </c>
      <c r="C50" s="291"/>
      <c r="D50" s="144"/>
    </row>
    <row r="51" spans="2:6" hidden="1">
      <c r="B51" s="133" t="s">
        <v>293</v>
      </c>
      <c r="C51" s="151"/>
      <c r="D51" s="144"/>
    </row>
    <row r="52" spans="2:6" hidden="1">
      <c r="B52" s="187"/>
      <c r="C52" s="187"/>
    </row>
    <row r="53" spans="2:6" hidden="1">
      <c r="B53" s="673" t="s">
        <v>292</v>
      </c>
      <c r="C53" s="674"/>
      <c r="D53" s="144"/>
    </row>
    <row r="54" spans="2:6" hidden="1">
      <c r="B54" s="133" t="s">
        <v>294</v>
      </c>
      <c r="C54" s="290"/>
      <c r="D54" s="144"/>
    </row>
    <row r="55" spans="2:6" hidden="1">
      <c r="B55" s="133" t="s">
        <v>25</v>
      </c>
      <c r="C55" s="291"/>
      <c r="D55" s="144"/>
    </row>
    <row r="56" spans="2:6" hidden="1">
      <c r="B56" s="133" t="s">
        <v>293</v>
      </c>
      <c r="C56" s="151"/>
      <c r="D56" s="144"/>
    </row>
    <row r="57" spans="2:6" hidden="1">
      <c r="B57" s="132"/>
      <c r="C57" s="132"/>
    </row>
    <row r="59" spans="2:6">
      <c r="B59" s="673" t="s">
        <v>23</v>
      </c>
      <c r="C59" s="674"/>
      <c r="D59" s="144"/>
    </row>
    <row r="60" spans="2:6">
      <c r="B60" s="849" t="s">
        <v>1933</v>
      </c>
      <c r="C60" s="850"/>
      <c r="D60" s="144"/>
    </row>
    <row r="61" spans="2:6">
      <c r="B61" s="187"/>
      <c r="C61" s="187"/>
      <c r="E61" s="38"/>
      <c r="F61" s="38"/>
    </row>
    <row r="62" spans="2:6" s="3" customFormat="1" ht="18" thickBot="1">
      <c r="B62" s="32" t="s">
        <v>1197</v>
      </c>
      <c r="C62" s="32"/>
    </row>
    <row r="63" spans="2:6">
      <c r="B63" s="143"/>
      <c r="C63" s="143"/>
    </row>
    <row r="64" spans="2:6" s="3" customFormat="1">
      <c r="B64" s="727" t="s">
        <v>1198</v>
      </c>
      <c r="C64" s="728"/>
      <c r="D64" s="163"/>
    </row>
    <row r="65" spans="2:4" s="3" customFormat="1" ht="75" customHeight="1">
      <c r="B65" s="632"/>
      <c r="C65" s="633"/>
      <c r="D65" s="292"/>
    </row>
  </sheetData>
  <sheetProtection formatCells="0" formatColumns="0" formatRows="0" insertHyperlinks="0"/>
  <mergeCells count="15">
    <mergeCell ref="B65:C65"/>
    <mergeCell ref="B64:C64"/>
    <mergeCell ref="B43:C43"/>
    <mergeCell ref="B48:C48"/>
    <mergeCell ref="B53:C53"/>
    <mergeCell ref="B59:C59"/>
    <mergeCell ref="B60:C60"/>
    <mergeCell ref="B38:C38"/>
    <mergeCell ref="B2:C2"/>
    <mergeCell ref="B8:C8"/>
    <mergeCell ref="B13:C13"/>
    <mergeCell ref="B18:C18"/>
    <mergeCell ref="B23:C23"/>
    <mergeCell ref="B28:C28"/>
    <mergeCell ref="B33:C33"/>
  </mergeCells>
  <conditionalFormatting sqref="C6">
    <cfRule type="expression" dxfId="109" priority="1">
      <formula>$A$2="PRINT"</formula>
    </cfRule>
  </conditionalFormatting>
  <dataValidations count="1">
    <dataValidation type="list" allowBlank="1" showInputMessage="1" showErrorMessage="1" sqref="C6" xr:uid="{00000000-0002-0000-3800-000000000000}">
      <formula1>" Click to select,0,1,2,3,4,5,6,7,8,9,10"</formula1>
    </dataValidation>
  </dataValidations>
  <pageMargins left="0.70866141732283472" right="0.70866141732283472" top="0.74803149606299213" bottom="0.74803149606299213" header="0.31496062992125984" footer="0.31496062992125984"/>
  <pageSetup paperSize="9" scale="72" fitToHeight="0" orientation="portrait" r:id="rId1"/>
  <headerFooter>
    <oddFooter>&amp;C&amp;P</oddFooter>
  </headerFooter>
  <drawing r:id="rId2"/>
  <picture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9">
    <tabColor theme="2" tint="-0.249977111117893"/>
    <pageSetUpPr fitToPage="1"/>
  </sheetPr>
  <dimension ref="A1:E33"/>
  <sheetViews>
    <sheetView showGridLines="0" topLeftCell="A28" zoomScale="80" zoomScaleNormal="80" workbookViewId="0">
      <selection activeCell="C8" sqref="C8"/>
    </sheetView>
  </sheetViews>
  <sheetFormatPr defaultColWidth="9.140625" defaultRowHeight="15"/>
  <cols>
    <col min="1" max="1" width="9.140625" style="3"/>
    <col min="2" max="2" width="33.7109375" style="3" customWidth="1"/>
    <col min="3" max="3" width="92.7109375" style="3" customWidth="1"/>
    <col min="4" max="4" width="1.7109375" style="3" customWidth="1"/>
    <col min="5" max="16384" width="9.140625" style="3"/>
  </cols>
  <sheetData>
    <row r="1" spans="1:5">
      <c r="E1" s="38"/>
    </row>
    <row r="2" spans="1:5" ht="18.75">
      <c r="A2" s="103"/>
      <c r="B2" s="1078" t="s">
        <v>302</v>
      </c>
      <c r="C2" s="1078"/>
    </row>
    <row r="3" spans="1:5" ht="18.75">
      <c r="A3" s="103"/>
      <c r="B3" s="45"/>
      <c r="C3" s="45"/>
    </row>
    <row r="4" spans="1:5" ht="17.25">
      <c r="A4" s="103"/>
      <c r="B4" s="32" t="s">
        <v>1732</v>
      </c>
      <c r="C4" s="32"/>
    </row>
    <row r="6" spans="1:5" ht="30">
      <c r="B6" s="133" t="s">
        <v>1759</v>
      </c>
      <c r="C6" s="133" t="s">
        <v>301</v>
      </c>
      <c r="D6" s="292"/>
    </row>
    <row r="7" spans="1:5">
      <c r="B7" s="1079" t="s">
        <v>1733</v>
      </c>
      <c r="C7" s="1080"/>
      <c r="D7" s="163"/>
    </row>
    <row r="8" spans="1:5" ht="48" customHeight="1">
      <c r="B8" s="473" t="s">
        <v>1739</v>
      </c>
      <c r="C8" s="506" t="s">
        <v>1793</v>
      </c>
      <c r="D8" s="163"/>
    </row>
    <row r="9" spans="1:5" ht="48" customHeight="1">
      <c r="B9" s="473" t="s">
        <v>1740</v>
      </c>
      <c r="C9" s="505" t="s">
        <v>1794</v>
      </c>
      <c r="D9" s="163"/>
    </row>
    <row r="10" spans="1:5">
      <c r="B10" s="1079" t="s">
        <v>1734</v>
      </c>
      <c r="C10" s="1080"/>
      <c r="D10" s="163"/>
    </row>
    <row r="11" spans="1:5" ht="48" customHeight="1">
      <c r="B11" s="473" t="s">
        <v>1741</v>
      </c>
      <c r="C11" s="505" t="s">
        <v>1795</v>
      </c>
      <c r="D11" s="163"/>
    </row>
    <row r="12" spans="1:5" ht="48" customHeight="1">
      <c r="B12" s="473" t="s">
        <v>1743</v>
      </c>
      <c r="C12" s="505" t="s">
        <v>1796</v>
      </c>
      <c r="D12" s="163"/>
    </row>
    <row r="13" spans="1:5" ht="48" customHeight="1">
      <c r="B13" s="473" t="s">
        <v>1760</v>
      </c>
      <c r="C13" s="505" t="s">
        <v>1797</v>
      </c>
      <c r="D13" s="163"/>
    </row>
    <row r="14" spans="1:5" ht="48" customHeight="1">
      <c r="B14" s="473" t="s">
        <v>1742</v>
      </c>
      <c r="C14" s="505" t="s">
        <v>1795</v>
      </c>
      <c r="D14" s="163"/>
    </row>
    <row r="15" spans="1:5">
      <c r="B15" s="1079" t="s">
        <v>1735</v>
      </c>
      <c r="C15" s="1080"/>
      <c r="D15" s="163"/>
    </row>
    <row r="16" spans="1:5" ht="63" customHeight="1">
      <c r="B16" s="473" t="s">
        <v>1744</v>
      </c>
      <c r="C16" s="530" t="s">
        <v>1860</v>
      </c>
      <c r="D16" s="163"/>
    </row>
    <row r="17" spans="2:4" ht="48" customHeight="1">
      <c r="B17" s="473" t="s">
        <v>1745</v>
      </c>
      <c r="C17" s="520" t="s">
        <v>1861</v>
      </c>
      <c r="D17" s="163"/>
    </row>
    <row r="18" spans="2:4">
      <c r="B18" s="1079" t="s">
        <v>1736</v>
      </c>
      <c r="C18" s="1080"/>
      <c r="D18" s="163"/>
    </row>
    <row r="19" spans="2:4" ht="57" customHeight="1">
      <c r="B19" s="473" t="s">
        <v>1746</v>
      </c>
      <c r="C19" s="513" t="s">
        <v>1851</v>
      </c>
      <c r="D19" s="163"/>
    </row>
    <row r="20" spans="2:4" ht="29.25" customHeight="1">
      <c r="B20" s="473" t="s">
        <v>1747</v>
      </c>
      <c r="C20" s="531" t="s">
        <v>1862</v>
      </c>
      <c r="D20" s="163"/>
    </row>
    <row r="21" spans="2:4" ht="48" customHeight="1">
      <c r="B21" s="473" t="s">
        <v>1748</v>
      </c>
      <c r="C21" s="532" t="s">
        <v>1868</v>
      </c>
      <c r="D21" s="163"/>
    </row>
    <row r="22" spans="2:4" ht="48" customHeight="1">
      <c r="B22" s="473" t="s">
        <v>1749</v>
      </c>
      <c r="C22" s="505" t="s">
        <v>1795</v>
      </c>
      <c r="D22" s="163"/>
    </row>
    <row r="23" spans="2:4">
      <c r="B23" s="1079" t="s">
        <v>1737</v>
      </c>
      <c r="C23" s="1080"/>
      <c r="D23" s="163"/>
    </row>
    <row r="24" spans="2:4" ht="54" customHeight="1">
      <c r="B24" s="519" t="s">
        <v>1750</v>
      </c>
      <c r="C24" s="149" t="s">
        <v>1878</v>
      </c>
      <c r="D24" s="163"/>
    </row>
    <row r="25" spans="2:4" ht="48" customHeight="1">
      <c r="B25" s="519" t="s">
        <v>1754</v>
      </c>
      <c r="C25" s="149" t="s">
        <v>1885</v>
      </c>
      <c r="D25" s="163"/>
    </row>
    <row r="26" spans="2:4" ht="48" customHeight="1">
      <c r="B26" s="519" t="s">
        <v>1751</v>
      </c>
      <c r="C26" s="570" t="s">
        <v>1863</v>
      </c>
      <c r="D26" s="163"/>
    </row>
    <row r="27" spans="2:4" ht="48" customHeight="1">
      <c r="B27" s="519" t="s">
        <v>1752</v>
      </c>
      <c r="C27" s="149" t="s">
        <v>1907</v>
      </c>
      <c r="D27" s="163"/>
    </row>
    <row r="28" spans="2:4" ht="48" customHeight="1">
      <c r="B28" s="519" t="s">
        <v>1753</v>
      </c>
      <c r="C28" s="570" t="s">
        <v>1886</v>
      </c>
      <c r="D28" s="163"/>
    </row>
    <row r="29" spans="2:4" ht="48" customHeight="1">
      <c r="B29" s="519" t="s">
        <v>1755</v>
      </c>
      <c r="C29" s="570" t="s">
        <v>1886</v>
      </c>
      <c r="D29" s="163"/>
    </row>
    <row r="30" spans="2:4">
      <c r="B30" s="1079" t="s">
        <v>1738</v>
      </c>
      <c r="C30" s="1080"/>
      <c r="D30" s="163"/>
    </row>
    <row r="31" spans="2:4" ht="48" customHeight="1">
      <c r="B31" s="473" t="s">
        <v>1756</v>
      </c>
      <c r="C31" s="290" t="s">
        <v>1806</v>
      </c>
      <c r="D31" s="163"/>
    </row>
    <row r="32" spans="2:4" ht="48" customHeight="1">
      <c r="B32" s="474" t="s">
        <v>1757</v>
      </c>
      <c r="C32" s="290" t="s">
        <v>1806</v>
      </c>
      <c r="D32" s="163"/>
    </row>
    <row r="33" spans="2:4" ht="48" customHeight="1">
      <c r="B33" s="474" t="s">
        <v>1758</v>
      </c>
      <c r="C33" s="290" t="s">
        <v>1806</v>
      </c>
      <c r="D33" s="163"/>
    </row>
  </sheetData>
  <sheetProtection formatCells="0" formatColumns="0" formatRows="0" insertHyperlinks="0"/>
  <mergeCells count="7">
    <mergeCell ref="B2:C2"/>
    <mergeCell ref="B30:C30"/>
    <mergeCell ref="B7:C7"/>
    <mergeCell ref="B10:C10"/>
    <mergeCell ref="B15:C15"/>
    <mergeCell ref="B18:C18"/>
    <mergeCell ref="B23:C23"/>
  </mergeCells>
  <pageMargins left="0.70866141732283472" right="0.70866141732283472" top="0.74803149606299213" bottom="0.74803149606299213" header="0.31496062992125984" footer="0.31496062992125984"/>
  <pageSetup paperSize="9" scale="73" fitToHeight="0" orientation="portrait" r:id="rId1"/>
  <headerFooter>
    <oddFooter>&amp;C&amp;P</oddFooter>
  </headerFooter>
  <drawing r:id="rId2"/>
  <picture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101">
    <tabColor theme="2" tint="-0.249977111117893"/>
    <pageSetUpPr fitToPage="1"/>
  </sheetPr>
  <dimension ref="A1:E6"/>
  <sheetViews>
    <sheetView showGridLines="0" topLeftCell="A4" zoomScaleNormal="100" workbookViewId="0">
      <selection activeCell="G5" sqref="G5"/>
    </sheetView>
  </sheetViews>
  <sheetFormatPr defaultColWidth="9.140625" defaultRowHeight="15"/>
  <cols>
    <col min="1" max="1" width="9.140625" style="3"/>
    <col min="2" max="2" width="37.85546875" style="3" customWidth="1"/>
    <col min="3" max="3" width="80.5703125" style="3" customWidth="1"/>
    <col min="4" max="4" width="1.7109375" style="3" customWidth="1"/>
    <col min="5" max="16384" width="9.140625" style="3"/>
  </cols>
  <sheetData>
    <row r="1" spans="1:5">
      <c r="E1" s="38"/>
    </row>
    <row r="2" spans="1:5" ht="18.75">
      <c r="A2" s="103"/>
      <c r="B2" s="1078" t="s">
        <v>1001</v>
      </c>
      <c r="C2" s="1078"/>
    </row>
    <row r="4" spans="1:5" ht="44.25" customHeight="1">
      <c r="B4" s="654" t="s">
        <v>1002</v>
      </c>
      <c r="C4" s="655"/>
      <c r="D4" s="163"/>
      <c r="E4" s="38"/>
    </row>
    <row r="5" spans="1:5" ht="354" customHeight="1">
      <c r="B5" s="1030" t="s">
        <v>1927</v>
      </c>
      <c r="C5" s="1031"/>
      <c r="D5" s="163"/>
    </row>
    <row r="6" spans="1:5">
      <c r="B6" s="237"/>
      <c r="C6" s="237"/>
    </row>
  </sheetData>
  <sheetProtection formatCells="0" formatColumns="0" formatRows="0" insertHyperlinks="0"/>
  <mergeCells count="3">
    <mergeCell ref="B2:C2"/>
    <mergeCell ref="B4:C4"/>
    <mergeCell ref="B5:C5"/>
  </mergeCells>
  <pageMargins left="0.70866141732283472" right="0.70866141732283472" top="0.74803149606299213" bottom="0.74803149606299213" header="0.31496062992125984" footer="0.31496062992125984"/>
  <pageSetup paperSize="9" scale="75" fitToHeight="0" orientation="portrait" r:id="rId1"/>
  <headerFooter>
    <oddFooter>&amp;C&amp;P</oddFooter>
  </headerFooter>
  <drawing r:id="rId2"/>
  <pictur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2" tint="-0.249977111117893"/>
    <pageSetUpPr fitToPage="1"/>
  </sheetPr>
  <dimension ref="A1:G109"/>
  <sheetViews>
    <sheetView showGridLines="0" topLeftCell="A103" zoomScale="110" zoomScaleNormal="110" workbookViewId="0">
      <selection activeCell="B109" sqref="B109:E109"/>
    </sheetView>
  </sheetViews>
  <sheetFormatPr defaultColWidth="9.140625" defaultRowHeight="15"/>
  <cols>
    <col min="1" max="1" width="8.85546875" style="4" customWidth="1"/>
    <col min="2" max="2" width="30.7109375" style="4" customWidth="1"/>
    <col min="3" max="3" width="17.7109375" style="4" customWidth="1"/>
    <col min="4" max="4" width="29.7109375" style="4" customWidth="1"/>
    <col min="5" max="5" width="39.7109375" style="4" customWidth="1"/>
    <col min="6" max="6" width="1.7109375" style="4" customWidth="1"/>
    <col min="7" max="16384" width="9.140625" style="4"/>
  </cols>
  <sheetData>
    <row r="1" spans="1:7">
      <c r="A1" s="3"/>
    </row>
    <row r="2" spans="1:7" ht="21">
      <c r="A2" s="106"/>
      <c r="B2" s="120" t="s">
        <v>225</v>
      </c>
      <c r="C2" s="120"/>
      <c r="D2" s="141"/>
      <c r="E2" s="141"/>
    </row>
    <row r="3" spans="1:7">
      <c r="B3" s="132"/>
      <c r="C3" s="132"/>
      <c r="D3" s="132"/>
      <c r="E3" s="132"/>
    </row>
    <row r="4" spans="1:7" ht="18.75">
      <c r="B4" s="636" t="s">
        <v>223</v>
      </c>
      <c r="C4" s="636"/>
      <c r="D4" s="31"/>
      <c r="E4" s="31"/>
    </row>
    <row r="5" spans="1:7">
      <c r="B5" s="30"/>
      <c r="C5" s="30"/>
      <c r="D5" s="30"/>
      <c r="E5" s="30"/>
    </row>
    <row r="6" spans="1:7" ht="30">
      <c r="B6" s="133" t="s">
        <v>304</v>
      </c>
      <c r="C6" s="637" t="s">
        <v>1798</v>
      </c>
      <c r="D6" s="638"/>
      <c r="E6" s="638"/>
      <c r="F6" s="142"/>
    </row>
    <row r="7" spans="1:7" ht="18" customHeight="1">
      <c r="B7" s="132"/>
      <c r="C7" s="132"/>
      <c r="D7" s="132"/>
      <c r="E7" s="132"/>
    </row>
    <row r="8" spans="1:7" ht="18" thickBot="1">
      <c r="B8" s="32" t="s">
        <v>1386</v>
      </c>
      <c r="C8" s="32"/>
      <c r="D8" s="32"/>
      <c r="E8" s="32"/>
      <c r="F8" s="32"/>
    </row>
    <row r="9" spans="1:7">
      <c r="B9" s="143"/>
      <c r="C9" s="143"/>
      <c r="D9" s="143"/>
      <c r="E9" s="143"/>
    </row>
    <row r="10" spans="1:7">
      <c r="B10" s="133" t="s">
        <v>19</v>
      </c>
      <c r="C10" s="652">
        <v>2</v>
      </c>
      <c r="D10" s="653"/>
      <c r="E10" s="653"/>
      <c r="F10" s="144"/>
    </row>
    <row r="11" spans="1:7">
      <c r="B11" s="130"/>
      <c r="C11" s="132"/>
      <c r="D11" s="132"/>
      <c r="E11" s="132"/>
    </row>
    <row r="12" spans="1:7">
      <c r="A12" s="145" t="s">
        <v>361</v>
      </c>
      <c r="B12" s="147" t="s">
        <v>261</v>
      </c>
      <c r="C12" s="148" t="s">
        <v>262</v>
      </c>
      <c r="D12" s="639" t="s">
        <v>24</v>
      </c>
      <c r="E12" s="640"/>
      <c r="F12" s="146"/>
      <c r="G12"/>
    </row>
    <row r="13" spans="1:7" ht="15.75">
      <c r="A13" s="4">
        <v>1</v>
      </c>
      <c r="B13" s="485" t="s">
        <v>429</v>
      </c>
      <c r="C13" s="534" t="s">
        <v>1874</v>
      </c>
      <c r="D13" s="641" t="s">
        <v>1770</v>
      </c>
      <c r="E13" s="642"/>
      <c r="F13" s="146"/>
    </row>
    <row r="14" spans="1:7" ht="60">
      <c r="A14" s="4">
        <v>2</v>
      </c>
      <c r="B14" s="487" t="s">
        <v>1772</v>
      </c>
      <c r="C14" s="486" t="s">
        <v>1771</v>
      </c>
      <c r="D14" s="643" t="s">
        <v>1770</v>
      </c>
      <c r="E14" s="644"/>
      <c r="F14" s="150"/>
    </row>
    <row r="15" spans="1:7" hidden="1">
      <c r="A15" s="4">
        <v>3</v>
      </c>
      <c r="B15" s="151"/>
      <c r="C15" s="149"/>
      <c r="D15" s="650"/>
      <c r="E15" s="651"/>
      <c r="F15" s="150"/>
    </row>
    <row r="16" spans="1:7" hidden="1">
      <c r="A16" s="4">
        <v>4</v>
      </c>
      <c r="B16" s="151"/>
      <c r="C16" s="149"/>
      <c r="D16" s="650"/>
      <c r="E16" s="651"/>
      <c r="F16" s="150"/>
    </row>
    <row r="17" spans="1:6" hidden="1">
      <c r="A17" s="4">
        <v>5</v>
      </c>
      <c r="B17" s="151"/>
      <c r="C17" s="149"/>
      <c r="D17" s="650"/>
      <c r="E17" s="651"/>
      <c r="F17" s="150"/>
    </row>
    <row r="18" spans="1:6" hidden="1">
      <c r="A18" s="4">
        <v>6</v>
      </c>
      <c r="B18" s="151"/>
      <c r="C18" s="149"/>
      <c r="D18" s="650"/>
      <c r="E18" s="651"/>
      <c r="F18" s="150"/>
    </row>
    <row r="19" spans="1:6" hidden="1">
      <c r="A19" s="4">
        <v>7</v>
      </c>
      <c r="B19" s="151"/>
      <c r="C19" s="149"/>
      <c r="D19" s="650"/>
      <c r="E19" s="651"/>
      <c r="F19" s="150"/>
    </row>
    <row r="20" spans="1:6" hidden="1">
      <c r="A20" s="4">
        <v>8</v>
      </c>
      <c r="B20" s="151"/>
      <c r="C20" s="149"/>
      <c r="D20" s="650"/>
      <c r="E20" s="651"/>
      <c r="F20" s="150"/>
    </row>
    <row r="21" spans="1:6" hidden="1">
      <c r="A21" s="4">
        <v>9</v>
      </c>
      <c r="B21" s="151"/>
      <c r="C21" s="149"/>
      <c r="D21" s="650"/>
      <c r="E21" s="651"/>
      <c r="F21" s="150"/>
    </row>
    <row r="22" spans="1:6" hidden="1">
      <c r="A22" s="4">
        <v>10</v>
      </c>
      <c r="B22" s="151"/>
      <c r="C22" s="149"/>
      <c r="D22" s="149"/>
      <c r="E22" s="153"/>
      <c r="F22" s="150"/>
    </row>
    <row r="23" spans="1:6">
      <c r="A23"/>
      <c r="B23" s="152"/>
      <c r="C23" s="152"/>
      <c r="D23" s="152"/>
      <c r="E23" s="152"/>
      <c r="F23"/>
    </row>
    <row r="24" spans="1:6">
      <c r="A24"/>
      <c r="B24"/>
      <c r="C24"/>
      <c r="D24"/>
      <c r="E24"/>
      <c r="F24"/>
    </row>
    <row r="25" spans="1:6" ht="15" hidden="1" customHeight="1">
      <c r="A25"/>
      <c r="B25"/>
      <c r="C25"/>
      <c r="D25"/>
      <c r="E25"/>
      <c r="F25"/>
    </row>
    <row r="26" spans="1:6" ht="23.25" customHeight="1">
      <c r="B26" s="154" t="s">
        <v>268</v>
      </c>
      <c r="C26" s="41"/>
      <c r="D26" s="41"/>
      <c r="E26" s="41"/>
      <c r="F26" s="60"/>
    </row>
    <row r="27" spans="1:6">
      <c r="B27" s="654" t="s">
        <v>973</v>
      </c>
      <c r="C27" s="655"/>
      <c r="D27" s="655"/>
      <c r="E27" s="156">
        <v>0</v>
      </c>
      <c r="F27" s="155"/>
    </row>
    <row r="28" spans="1:6">
      <c r="B28" s="157"/>
      <c r="C28" s="158"/>
      <c r="D28" s="158"/>
      <c r="E28" s="158"/>
      <c r="F28" s="60"/>
    </row>
    <row r="29" spans="1:6" hidden="1">
      <c r="B29" s="645" t="s">
        <v>306</v>
      </c>
      <c r="C29" s="645"/>
      <c r="D29" s="645"/>
      <c r="E29" s="645"/>
      <c r="F29" s="144"/>
    </row>
    <row r="30" spans="1:6" hidden="1">
      <c r="B30" s="148" t="s">
        <v>266</v>
      </c>
      <c r="C30" s="645" t="s">
        <v>267</v>
      </c>
      <c r="D30" s="645"/>
      <c r="E30" s="645"/>
      <c r="F30" s="144"/>
    </row>
    <row r="31" spans="1:6" hidden="1">
      <c r="A31" s="4">
        <v>1</v>
      </c>
      <c r="B31" s="159"/>
      <c r="C31" s="630"/>
      <c r="D31" s="649"/>
      <c r="E31" s="649"/>
      <c r="F31" s="146"/>
    </row>
    <row r="32" spans="1:6" hidden="1">
      <c r="A32" s="4">
        <v>2</v>
      </c>
      <c r="B32" s="159"/>
      <c r="C32" s="630"/>
      <c r="D32" s="631"/>
      <c r="E32" s="631"/>
      <c r="F32" s="146"/>
    </row>
    <row r="33" spans="1:6" hidden="1">
      <c r="A33" s="4">
        <v>3</v>
      </c>
      <c r="B33" s="159"/>
      <c r="C33" s="630"/>
      <c r="D33" s="631"/>
      <c r="E33" s="631"/>
      <c r="F33" s="146"/>
    </row>
    <row r="34" spans="1:6" hidden="1">
      <c r="A34" s="4">
        <v>4</v>
      </c>
      <c r="B34" s="159"/>
      <c r="C34" s="630"/>
      <c r="D34" s="631"/>
      <c r="E34" s="631"/>
      <c r="F34" s="146"/>
    </row>
    <row r="35" spans="1:6" hidden="1">
      <c r="A35" s="4">
        <v>5</v>
      </c>
      <c r="B35" s="159"/>
      <c r="C35" s="630"/>
      <c r="D35" s="631"/>
      <c r="E35" s="631"/>
      <c r="F35" s="146"/>
    </row>
    <row r="36" spans="1:6" hidden="1">
      <c r="A36" s="4">
        <v>6</v>
      </c>
      <c r="B36" s="159"/>
      <c r="C36" s="630"/>
      <c r="D36" s="631"/>
      <c r="E36" s="631"/>
      <c r="F36" s="146"/>
    </row>
    <row r="37" spans="1:6" hidden="1">
      <c r="A37" s="4">
        <v>7</v>
      </c>
      <c r="B37" s="159"/>
      <c r="C37" s="630"/>
      <c r="D37" s="631"/>
      <c r="E37" s="631"/>
      <c r="F37" s="146"/>
    </row>
    <row r="38" spans="1:6" hidden="1">
      <c r="A38" s="4">
        <v>8</v>
      </c>
      <c r="B38" s="159"/>
      <c r="C38" s="630"/>
      <c r="D38" s="631"/>
      <c r="E38" s="631"/>
      <c r="F38" s="146"/>
    </row>
    <row r="39" spans="1:6" hidden="1">
      <c r="A39" s="4">
        <v>9</v>
      </c>
      <c r="B39" s="159"/>
      <c r="C39" s="630"/>
      <c r="D39" s="631"/>
      <c r="E39" s="631"/>
      <c r="F39" s="146"/>
    </row>
    <row r="40" spans="1:6" hidden="1">
      <c r="A40" s="4">
        <v>10</v>
      </c>
      <c r="B40" s="159"/>
      <c r="C40" s="630"/>
      <c r="D40" s="631"/>
      <c r="E40" s="631"/>
      <c r="F40" s="146"/>
    </row>
    <row r="41" spans="1:6" hidden="1">
      <c r="A41" s="4">
        <v>11</v>
      </c>
      <c r="B41" s="159"/>
      <c r="C41" s="630"/>
      <c r="D41" s="649"/>
      <c r="E41" s="649"/>
      <c r="F41" s="146"/>
    </row>
    <row r="42" spans="1:6" hidden="1">
      <c r="A42" s="4">
        <v>12</v>
      </c>
      <c r="B42" s="159"/>
      <c r="C42" s="630"/>
      <c r="D42" s="630"/>
      <c r="E42" s="630"/>
      <c r="F42" s="146"/>
    </row>
    <row r="43" spans="1:6" ht="23.25" customHeight="1">
      <c r="B43" s="160"/>
      <c r="C43" s="158"/>
      <c r="D43" s="158"/>
      <c r="E43" s="158"/>
      <c r="F43" s="41"/>
    </row>
    <row r="44" spans="1:6">
      <c r="B44" s="654" t="s">
        <v>702</v>
      </c>
      <c r="C44" s="655"/>
      <c r="D44" s="655"/>
      <c r="E44" s="156">
        <v>0</v>
      </c>
      <c r="F44" s="150"/>
    </row>
    <row r="45" spans="1:6">
      <c r="B45" s="160"/>
      <c r="C45" s="158"/>
      <c r="D45" s="158"/>
      <c r="E45" s="158"/>
      <c r="F45" s="41"/>
    </row>
    <row r="46" spans="1:6" hidden="1">
      <c r="B46" s="639" t="s">
        <v>307</v>
      </c>
      <c r="C46" s="639"/>
      <c r="D46" s="639"/>
      <c r="E46" s="639"/>
      <c r="F46" s="144"/>
    </row>
    <row r="47" spans="1:6" hidden="1">
      <c r="B47" s="148" t="s">
        <v>266</v>
      </c>
      <c r="C47" s="639" t="s">
        <v>267</v>
      </c>
      <c r="D47" s="639"/>
      <c r="E47" s="639"/>
      <c r="F47" s="144"/>
    </row>
    <row r="48" spans="1:6" hidden="1">
      <c r="A48" s="4">
        <v>1</v>
      </c>
      <c r="B48" s="159"/>
      <c r="C48" s="646"/>
      <c r="D48" s="647"/>
      <c r="E48" s="648"/>
      <c r="F48" s="146"/>
    </row>
    <row r="49" spans="1:6" hidden="1">
      <c r="A49" s="4">
        <v>2</v>
      </c>
      <c r="B49" s="159"/>
      <c r="C49" s="646"/>
      <c r="D49" s="647"/>
      <c r="E49" s="648"/>
      <c r="F49" s="146"/>
    </row>
    <row r="50" spans="1:6" hidden="1">
      <c r="A50" s="4">
        <v>3</v>
      </c>
      <c r="B50" s="159"/>
      <c r="C50" s="646"/>
      <c r="D50" s="647"/>
      <c r="E50" s="648"/>
      <c r="F50" s="146"/>
    </row>
    <row r="51" spans="1:6" hidden="1">
      <c r="A51" s="4">
        <v>4</v>
      </c>
      <c r="B51" s="159"/>
      <c r="C51" s="646"/>
      <c r="D51" s="647"/>
      <c r="E51" s="648"/>
      <c r="F51" s="146"/>
    </row>
    <row r="52" spans="1:6" hidden="1">
      <c r="A52" s="4">
        <v>5</v>
      </c>
      <c r="B52" s="159"/>
      <c r="C52" s="646"/>
      <c r="D52" s="647"/>
      <c r="E52" s="648"/>
      <c r="F52" s="146"/>
    </row>
    <row r="53" spans="1:6" hidden="1">
      <c r="A53" s="4">
        <v>6</v>
      </c>
      <c r="B53" s="159"/>
      <c r="C53" s="646"/>
      <c r="D53" s="647"/>
      <c r="E53" s="648"/>
      <c r="F53" s="146"/>
    </row>
    <row r="54" spans="1:6" hidden="1">
      <c r="A54" s="4">
        <v>7</v>
      </c>
      <c r="B54" s="159"/>
      <c r="C54" s="646"/>
      <c r="D54" s="647"/>
      <c r="E54" s="648"/>
      <c r="F54" s="146"/>
    </row>
    <row r="55" spans="1:6" hidden="1">
      <c r="A55" s="4">
        <v>8</v>
      </c>
      <c r="B55" s="159"/>
      <c r="C55" s="646"/>
      <c r="D55" s="647"/>
      <c r="E55" s="648"/>
      <c r="F55" s="146"/>
    </row>
    <row r="56" spans="1:6" hidden="1">
      <c r="A56" s="4">
        <v>9</v>
      </c>
      <c r="B56" s="159"/>
      <c r="C56" s="646"/>
      <c r="D56" s="647"/>
      <c r="E56" s="648"/>
      <c r="F56" s="146"/>
    </row>
    <row r="57" spans="1:6" hidden="1">
      <c r="A57" s="4">
        <v>10</v>
      </c>
      <c r="B57" s="159"/>
      <c r="C57" s="646"/>
      <c r="D57" s="647"/>
      <c r="E57" s="648"/>
      <c r="F57" s="146"/>
    </row>
    <row r="58" spans="1:6" hidden="1">
      <c r="A58" s="4">
        <v>11</v>
      </c>
      <c r="B58" s="159"/>
      <c r="C58" s="646"/>
      <c r="D58" s="647"/>
      <c r="E58" s="648"/>
      <c r="F58" s="146"/>
    </row>
    <row r="59" spans="1:6" hidden="1">
      <c r="A59" s="4">
        <v>12</v>
      </c>
      <c r="B59" s="161"/>
      <c r="C59" s="646"/>
      <c r="D59" s="647"/>
      <c r="E59" s="648"/>
      <c r="F59" s="146"/>
    </row>
    <row r="60" spans="1:6" ht="18" customHeight="1">
      <c r="B60" s="132"/>
      <c r="C60" s="132"/>
      <c r="D60" s="132"/>
      <c r="E60" s="132"/>
    </row>
    <row r="61" spans="1:6" ht="18" thickBot="1">
      <c r="B61" s="162" t="s">
        <v>274</v>
      </c>
      <c r="C61" s="32"/>
      <c r="D61" s="32"/>
      <c r="E61" s="32"/>
    </row>
    <row r="62" spans="1:6">
      <c r="B62" s="143"/>
      <c r="C62" s="143"/>
      <c r="D62" s="143"/>
      <c r="E62" s="143"/>
    </row>
    <row r="63" spans="1:6">
      <c r="B63" s="133" t="s">
        <v>258</v>
      </c>
      <c r="C63" s="652">
        <v>2</v>
      </c>
      <c r="D63" s="653"/>
      <c r="E63" s="653"/>
      <c r="F63" s="144"/>
    </row>
    <row r="64" spans="1:6">
      <c r="B64" s="132"/>
      <c r="C64" s="132"/>
      <c r="D64" s="132"/>
      <c r="E64" s="132"/>
    </row>
    <row r="65" spans="2:6">
      <c r="B65" s="148" t="s">
        <v>259</v>
      </c>
      <c r="C65" s="133" t="s">
        <v>273</v>
      </c>
      <c r="D65" s="654" t="s">
        <v>260</v>
      </c>
      <c r="E65" s="655"/>
      <c r="F65" s="144"/>
    </row>
    <row r="66" spans="2:6" ht="15" customHeight="1">
      <c r="B66" s="487" t="s">
        <v>1773</v>
      </c>
      <c r="C66" s="487" t="s">
        <v>1774</v>
      </c>
      <c r="D66" s="662" t="s">
        <v>1775</v>
      </c>
      <c r="E66" s="663"/>
      <c r="F66" s="144"/>
    </row>
    <row r="67" spans="2:6" ht="15" customHeight="1">
      <c r="B67" s="487" t="s">
        <v>1799</v>
      </c>
      <c r="C67" s="487" t="s">
        <v>1776</v>
      </c>
      <c r="D67" s="662" t="s">
        <v>1777</v>
      </c>
      <c r="E67" s="663"/>
      <c r="F67" s="144"/>
    </row>
    <row r="68" spans="2:6" hidden="1">
      <c r="B68" s="149" t="s">
        <v>541</v>
      </c>
      <c r="C68" s="149"/>
      <c r="D68" s="149"/>
      <c r="E68" s="153"/>
      <c r="F68" s="144"/>
    </row>
    <row r="69" spans="2:6" hidden="1">
      <c r="B69" s="149" t="s">
        <v>542</v>
      </c>
      <c r="C69" s="149"/>
      <c r="D69" s="149"/>
      <c r="E69" s="153"/>
      <c r="F69" s="144"/>
    </row>
    <row r="70" spans="2:6" hidden="1">
      <c r="B70" s="149" t="s">
        <v>543</v>
      </c>
      <c r="C70" s="149"/>
      <c r="D70" s="149"/>
      <c r="E70" s="153"/>
      <c r="F70" s="144"/>
    </row>
    <row r="71" spans="2:6" hidden="1">
      <c r="B71" s="149" t="s">
        <v>544</v>
      </c>
      <c r="C71" s="149"/>
      <c r="D71" s="149"/>
      <c r="E71" s="153"/>
      <c r="F71" s="144"/>
    </row>
    <row r="72" spans="2:6" hidden="1">
      <c r="B72" s="149" t="s">
        <v>545</v>
      </c>
      <c r="C72" s="149"/>
      <c r="D72" s="149"/>
      <c r="E72" s="153"/>
      <c r="F72" s="144"/>
    </row>
    <row r="73" spans="2:6" hidden="1">
      <c r="B73" s="149" t="s">
        <v>546</v>
      </c>
      <c r="C73" s="149"/>
      <c r="D73" s="149"/>
      <c r="E73" s="153"/>
      <c r="F73" s="144"/>
    </row>
    <row r="74" spans="2:6" hidden="1">
      <c r="B74" s="149" t="s">
        <v>547</v>
      </c>
      <c r="C74" s="149"/>
      <c r="D74" s="149"/>
      <c r="E74" s="153"/>
      <c r="F74" s="144"/>
    </row>
    <row r="75" spans="2:6" hidden="1">
      <c r="B75" s="149" t="s">
        <v>548</v>
      </c>
      <c r="C75" s="149"/>
      <c r="D75" s="650"/>
      <c r="E75" s="651"/>
      <c r="F75" s="144"/>
    </row>
    <row r="76" spans="2:6">
      <c r="B76" s="132"/>
      <c r="C76" s="132"/>
      <c r="D76" s="132"/>
      <c r="E76" s="132"/>
    </row>
    <row r="77" spans="2:6" ht="18" customHeight="1" thickBot="1">
      <c r="B77" s="32" t="s">
        <v>275</v>
      </c>
      <c r="C77" s="32"/>
      <c r="D77" s="32"/>
      <c r="E77" s="32"/>
    </row>
    <row r="78" spans="2:6" ht="15" customHeight="1">
      <c r="B78" s="143"/>
      <c r="C78" s="143"/>
      <c r="D78" s="143"/>
      <c r="E78" s="143"/>
    </row>
    <row r="79" spans="2:6" ht="9" customHeight="1"/>
    <row r="80" spans="2:6" ht="15" customHeight="1">
      <c r="B80" s="15" t="s">
        <v>263</v>
      </c>
      <c r="C80" s="639" t="s">
        <v>538</v>
      </c>
      <c r="D80" s="640"/>
      <c r="E80" s="156">
        <v>1</v>
      </c>
      <c r="F80" s="144"/>
    </row>
    <row r="81" spans="2:6">
      <c r="B81" s="15"/>
      <c r="C81" s="132"/>
      <c r="D81" s="132"/>
      <c r="E81" s="132"/>
    </row>
    <row r="82" spans="2:6" ht="15" customHeight="1">
      <c r="B82" s="148" t="s">
        <v>549</v>
      </c>
      <c r="C82" s="660" t="s">
        <v>213</v>
      </c>
      <c r="D82" s="661"/>
      <c r="E82" s="661"/>
      <c r="F82" s="146"/>
    </row>
    <row r="83" spans="2:6" ht="15" hidden="1" customHeight="1">
      <c r="B83" s="148" t="s">
        <v>550</v>
      </c>
      <c r="C83" s="660"/>
      <c r="D83" s="661"/>
      <c r="E83" s="661"/>
      <c r="F83" s="146"/>
    </row>
    <row r="84" spans="2:6" ht="15" hidden="1" customHeight="1">
      <c r="B84" s="148" t="s">
        <v>551</v>
      </c>
      <c r="C84" s="660"/>
      <c r="D84" s="661"/>
      <c r="E84" s="661"/>
      <c r="F84" s="146"/>
    </row>
    <row r="85" spans="2:6" ht="15" hidden="1" customHeight="1">
      <c r="B85" s="148" t="s">
        <v>552</v>
      </c>
      <c r="C85" s="660"/>
      <c r="D85" s="661"/>
      <c r="E85" s="661"/>
      <c r="F85" s="146"/>
    </row>
    <row r="86" spans="2:6" ht="15" hidden="1" customHeight="1">
      <c r="B86" s="148" t="s">
        <v>553</v>
      </c>
      <c r="C86" s="660"/>
      <c r="D86" s="661"/>
      <c r="E86" s="661"/>
      <c r="F86" s="146"/>
    </row>
    <row r="87" spans="2:6" ht="15" customHeight="1">
      <c r="B87" s="132"/>
      <c r="C87" s="132"/>
      <c r="D87" s="132"/>
      <c r="E87" s="132"/>
    </row>
    <row r="88" spans="2:6" ht="15" customHeight="1">
      <c r="B88" s="15" t="s">
        <v>264</v>
      </c>
      <c r="C88" s="639" t="s">
        <v>539</v>
      </c>
      <c r="D88" s="640"/>
      <c r="E88" s="156">
        <v>0</v>
      </c>
      <c r="F88" s="163"/>
    </row>
    <row r="89" spans="2:6">
      <c r="B89" s="15"/>
      <c r="C89" s="132"/>
      <c r="D89" s="132"/>
      <c r="E89" s="132"/>
    </row>
    <row r="90" spans="2:6" ht="15" hidden="1" customHeight="1">
      <c r="B90" s="148" t="s">
        <v>554</v>
      </c>
      <c r="C90" s="660"/>
      <c r="D90" s="661"/>
      <c r="E90" s="661"/>
      <c r="F90" s="144"/>
    </row>
    <row r="91" spans="2:6" ht="15" hidden="1" customHeight="1">
      <c r="B91" s="148" t="s">
        <v>555</v>
      </c>
      <c r="C91" s="660"/>
      <c r="D91" s="661"/>
      <c r="E91" s="661"/>
      <c r="F91" s="144"/>
    </row>
    <row r="92" spans="2:6" ht="15" hidden="1" customHeight="1">
      <c r="B92" s="148" t="s">
        <v>556</v>
      </c>
      <c r="C92" s="660"/>
      <c r="D92" s="661"/>
      <c r="E92" s="661"/>
      <c r="F92" s="144"/>
    </row>
    <row r="93" spans="2:6" ht="15" hidden="1" customHeight="1">
      <c r="B93" s="148" t="s">
        <v>557</v>
      </c>
      <c r="C93" s="660"/>
      <c r="D93" s="661"/>
      <c r="E93" s="661"/>
      <c r="F93" s="144"/>
    </row>
    <row r="94" spans="2:6" ht="15" hidden="1" customHeight="1">
      <c r="B94" s="148" t="s">
        <v>558</v>
      </c>
      <c r="C94" s="660"/>
      <c r="D94" s="661"/>
      <c r="E94" s="661"/>
      <c r="F94" s="144"/>
    </row>
    <row r="95" spans="2:6" ht="15" hidden="1" customHeight="1">
      <c r="B95" s="148" t="s">
        <v>559</v>
      </c>
      <c r="C95" s="660"/>
      <c r="D95" s="661"/>
      <c r="E95" s="661"/>
      <c r="F95" s="144"/>
    </row>
    <row r="96" spans="2:6" ht="15" hidden="1" customHeight="1">
      <c r="B96" s="148" t="s">
        <v>560</v>
      </c>
      <c r="C96" s="660"/>
      <c r="D96" s="661"/>
      <c r="E96" s="661"/>
      <c r="F96" s="144"/>
    </row>
    <row r="97" spans="2:6" ht="15" hidden="1" customHeight="1">
      <c r="B97" s="148" t="s">
        <v>561</v>
      </c>
      <c r="C97" s="660"/>
      <c r="D97" s="661"/>
      <c r="E97" s="661"/>
      <c r="F97" s="144"/>
    </row>
    <row r="98" spans="2:6" ht="15" hidden="1" customHeight="1">
      <c r="B98" s="148" t="s">
        <v>562</v>
      </c>
      <c r="C98" s="660"/>
      <c r="D98" s="661"/>
      <c r="E98" s="661"/>
      <c r="F98" s="144"/>
    </row>
    <row r="99" spans="2:6" ht="15" hidden="1" customHeight="1">
      <c r="B99" s="148" t="s">
        <v>563</v>
      </c>
      <c r="C99" s="660"/>
      <c r="D99" s="661"/>
      <c r="E99" s="661"/>
      <c r="F99" s="144"/>
    </row>
    <row r="100" spans="2:6" ht="18" customHeight="1">
      <c r="B100" s="132"/>
      <c r="C100" s="132"/>
      <c r="D100" s="132"/>
      <c r="E100" s="132"/>
    </row>
    <row r="101" spans="2:6" ht="18" thickBot="1">
      <c r="B101" s="32" t="s">
        <v>265</v>
      </c>
      <c r="C101" s="32"/>
      <c r="D101" s="32"/>
      <c r="E101" s="32"/>
    </row>
    <row r="102" spans="2:6">
      <c r="B102" s="143"/>
      <c r="C102" s="143"/>
      <c r="D102" s="143"/>
      <c r="E102" s="143"/>
    </row>
    <row r="103" spans="2:6" ht="63" customHeight="1">
      <c r="B103" s="656" t="s">
        <v>1873</v>
      </c>
      <c r="C103" s="657"/>
      <c r="D103" s="657"/>
      <c r="E103" s="657"/>
      <c r="F103" s="144"/>
    </row>
    <row r="104" spans="2:6">
      <c r="B104" s="134"/>
      <c r="C104" s="134"/>
      <c r="D104" s="134"/>
      <c r="E104" s="134"/>
    </row>
    <row r="105" spans="2:6" ht="30" customHeight="1">
      <c r="B105" s="634" t="s">
        <v>1533</v>
      </c>
      <c r="C105" s="635"/>
      <c r="D105" s="635"/>
      <c r="E105" s="635"/>
      <c r="F105" s="144"/>
    </row>
    <row r="106" spans="2:6" ht="167.25" customHeight="1">
      <c r="B106" s="632" t="s">
        <v>1910</v>
      </c>
      <c r="C106" s="633"/>
      <c r="D106" s="633"/>
      <c r="E106" s="633"/>
      <c r="F106" s="144"/>
    </row>
    <row r="107" spans="2:6">
      <c r="B107" s="134"/>
      <c r="C107" s="134"/>
      <c r="D107" s="134"/>
      <c r="E107" s="134"/>
    </row>
    <row r="108" spans="2:6">
      <c r="B108" s="658" t="s">
        <v>23</v>
      </c>
      <c r="C108" s="659"/>
      <c r="D108" s="659"/>
      <c r="E108" s="659"/>
      <c r="F108" s="144"/>
    </row>
    <row r="109" spans="2:6" ht="124.15" customHeight="1">
      <c r="B109" s="632" t="s">
        <v>1911</v>
      </c>
      <c r="C109" s="633"/>
      <c r="D109" s="633"/>
      <c r="E109" s="633"/>
      <c r="F109" s="144"/>
    </row>
  </sheetData>
  <sheetProtection formatCells="0" formatColumns="0" formatRows="0" insertHyperlinks="0"/>
  <mergeCells count="70">
    <mergeCell ref="C53:E53"/>
    <mergeCell ref="C54:E54"/>
    <mergeCell ref="C55:E55"/>
    <mergeCell ref="C56:E56"/>
    <mergeCell ref="C38:E38"/>
    <mergeCell ref="C39:E39"/>
    <mergeCell ref="C40:E40"/>
    <mergeCell ref="C48:E48"/>
    <mergeCell ref="C49:E49"/>
    <mergeCell ref="C50:E50"/>
    <mergeCell ref="C51:E51"/>
    <mergeCell ref="C52:E52"/>
    <mergeCell ref="B44:D44"/>
    <mergeCell ref="C92:E92"/>
    <mergeCell ref="C63:E63"/>
    <mergeCell ref="C80:D80"/>
    <mergeCell ref="C82:E82"/>
    <mergeCell ref="D65:E65"/>
    <mergeCell ref="D66:E66"/>
    <mergeCell ref="D75:E75"/>
    <mergeCell ref="C83:E83"/>
    <mergeCell ref="D67:E67"/>
    <mergeCell ref="B103:E103"/>
    <mergeCell ref="B109:E109"/>
    <mergeCell ref="B108:E108"/>
    <mergeCell ref="C84:E84"/>
    <mergeCell ref="C85:E85"/>
    <mergeCell ref="C86:E86"/>
    <mergeCell ref="C93:E93"/>
    <mergeCell ref="C94:E94"/>
    <mergeCell ref="C95:E95"/>
    <mergeCell ref="C96:E96"/>
    <mergeCell ref="C97:E97"/>
    <mergeCell ref="C98:E98"/>
    <mergeCell ref="C91:E91"/>
    <mergeCell ref="C99:E99"/>
    <mergeCell ref="C88:D88"/>
    <mergeCell ref="C90:E90"/>
    <mergeCell ref="C36:E36"/>
    <mergeCell ref="C37:E37"/>
    <mergeCell ref="D20:E20"/>
    <mergeCell ref="D21:E21"/>
    <mergeCell ref="C10:E10"/>
    <mergeCell ref="B29:E29"/>
    <mergeCell ref="D15:E15"/>
    <mergeCell ref="D16:E16"/>
    <mergeCell ref="D17:E17"/>
    <mergeCell ref="D18:E18"/>
    <mergeCell ref="D19:E19"/>
    <mergeCell ref="B27:D27"/>
    <mergeCell ref="C31:E31"/>
    <mergeCell ref="C32:E32"/>
    <mergeCell ref="C33:E33"/>
    <mergeCell ref="C34:E34"/>
    <mergeCell ref="C35:E35"/>
    <mergeCell ref="B106:E106"/>
    <mergeCell ref="B105:E105"/>
    <mergeCell ref="B4:C4"/>
    <mergeCell ref="C6:E6"/>
    <mergeCell ref="D12:E12"/>
    <mergeCell ref="D13:E13"/>
    <mergeCell ref="D14:E14"/>
    <mergeCell ref="C30:E30"/>
    <mergeCell ref="C42:E42"/>
    <mergeCell ref="B46:E46"/>
    <mergeCell ref="C47:E47"/>
    <mergeCell ref="C59:E59"/>
    <mergeCell ref="C41:E41"/>
    <mergeCell ref="C57:E57"/>
    <mergeCell ref="C58:E58"/>
  </mergeCells>
  <conditionalFormatting sqref="C10:E10 B13 E27 E44 C63:E63 E80 C82:E86 E88 C90:E99">
    <cfRule type="expression" dxfId="1439" priority="1">
      <formula>$A$2="PRINT"</formula>
    </cfRule>
  </conditionalFormatting>
  <dataValidations count="4">
    <dataValidation type="list" allowBlank="1" showInputMessage="1" showErrorMessage="1" sqref="E44 E27" xr:uid="{00000000-0002-0000-0500-000000000000}">
      <formula1>"Click to select,0,1,2,3,4,5,6,7,8,9,10,11,12"</formula1>
    </dataValidation>
    <dataValidation type="list" allowBlank="1" showInputMessage="1" showErrorMessage="1" sqref="C63:E63 E88" xr:uid="{00000000-0002-0000-0500-000001000000}">
      <formula1>" Click to select,0,1,2,3,4,5,6,7,8,9,10"</formula1>
    </dataValidation>
    <dataValidation type="list" allowBlank="1" showInputMessage="1" showErrorMessage="1" sqref="E80" xr:uid="{00000000-0002-0000-0500-000002000000}">
      <formula1>" Click to select,1,2,3,4,5"</formula1>
    </dataValidation>
    <dataValidation type="list" allowBlank="1" showInputMessage="1" showErrorMessage="1" sqref="C10:E10" xr:uid="{00000000-0002-0000-0500-000003000000}">
      <formula1>"1,2,3,4,5,6,7,8,9,10"</formula1>
    </dataValidation>
  </dataValidations>
  <pageMargins left="0.70866141732283472" right="0.70866141732283472" top="0.74803149606299213" bottom="0.74803149606299213" header="0.31496062992125984" footer="0.31496062992125984"/>
  <pageSetup paperSize="9" scale="74" fitToHeight="0" pageOrder="overThenDown" orientation="portrait" r:id="rId1"/>
  <headerFooter>
    <oddFooter>&amp;C&amp;P</oddFooter>
  </headerFooter>
  <drawing r:id="rId2"/>
  <picture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6">
    <tabColor theme="1"/>
    <pageSetUpPr fitToPage="1"/>
  </sheetPr>
  <dimension ref="A1:G37"/>
  <sheetViews>
    <sheetView showGridLines="0" topLeftCell="A7"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16384" width="9.140625" style="10"/>
  </cols>
  <sheetData>
    <row r="1" spans="1:7" s="9" customFormat="1">
      <c r="A1" s="8"/>
      <c r="C1" s="36"/>
      <c r="D1" s="37"/>
    </row>
    <row r="2" spans="1:7" ht="21">
      <c r="A2" s="104"/>
      <c r="B2" s="621" t="s">
        <v>336</v>
      </c>
      <c r="C2" s="621"/>
      <c r="D2" s="621"/>
      <c r="E2" s="621"/>
      <c r="F2" s="621"/>
    </row>
    <row r="3" spans="1:7">
      <c r="B3" s="138"/>
      <c r="C3" s="139"/>
      <c r="D3" s="140"/>
      <c r="E3" s="138"/>
      <c r="F3" s="138"/>
    </row>
    <row r="4" spans="1:7">
      <c r="C4"/>
      <c r="D4"/>
      <c r="E4"/>
      <c r="F4"/>
      <c r="G4"/>
    </row>
    <row r="5" spans="1:7" ht="15" customHeight="1">
      <c r="B5" s="372" t="s">
        <v>298</v>
      </c>
      <c r="C5"/>
      <c r="D5"/>
      <c r="E5"/>
      <c r="F5"/>
      <c r="G5"/>
    </row>
    <row r="6" spans="1:7">
      <c r="B6" s="111" t="s">
        <v>1394</v>
      </c>
      <c r="C6"/>
      <c r="D6"/>
      <c r="E6"/>
      <c r="F6"/>
      <c r="G6"/>
    </row>
    <row r="7" spans="1:7">
      <c r="B7" s="111" t="s">
        <v>1399</v>
      </c>
      <c r="C7"/>
      <c r="D7"/>
      <c r="E7"/>
      <c r="F7"/>
      <c r="G7"/>
    </row>
    <row r="8" spans="1:7">
      <c r="B8"/>
      <c r="C8"/>
      <c r="D8"/>
      <c r="E8"/>
      <c r="F8"/>
      <c r="G8"/>
    </row>
    <row r="9" spans="1:7">
      <c r="B9" s="372" t="s">
        <v>909</v>
      </c>
      <c r="C9"/>
      <c r="D9"/>
      <c r="E9"/>
      <c r="F9"/>
      <c r="G9"/>
    </row>
    <row r="10" spans="1:7">
      <c r="B10" s="111" t="s">
        <v>398</v>
      </c>
      <c r="C10"/>
      <c r="D10"/>
      <c r="E10"/>
      <c r="F10"/>
      <c r="G10"/>
    </row>
    <row r="11" spans="1:7">
      <c r="B11" s="127" t="s">
        <v>399</v>
      </c>
      <c r="C11"/>
      <c r="D11"/>
      <c r="E11"/>
      <c r="F11"/>
      <c r="G11"/>
    </row>
    <row r="12" spans="1:7">
      <c r="B12" s="127" t="s">
        <v>1409</v>
      </c>
      <c r="C12"/>
      <c r="D12"/>
      <c r="E12"/>
      <c r="F12"/>
      <c r="G12"/>
    </row>
    <row r="13" spans="1:7">
      <c r="B13" s="111" t="s">
        <v>405</v>
      </c>
      <c r="C13"/>
      <c r="D13"/>
      <c r="E13"/>
      <c r="F13"/>
      <c r="G13"/>
    </row>
    <row r="14" spans="1:7">
      <c r="B14" s="127" t="s">
        <v>406</v>
      </c>
      <c r="C14"/>
      <c r="D14"/>
      <c r="E14"/>
      <c r="F14"/>
      <c r="G14"/>
    </row>
    <row r="15" spans="1:7">
      <c r="B15" s="127" t="s">
        <v>1410</v>
      </c>
      <c r="C15"/>
      <c r="D15"/>
      <c r="E15"/>
      <c r="F15"/>
      <c r="G15"/>
    </row>
    <row r="16" spans="1:7">
      <c r="B16" s="126"/>
      <c r="C16"/>
      <c r="D16"/>
      <c r="E16"/>
      <c r="F16"/>
      <c r="G16"/>
    </row>
    <row r="17" spans="2:7">
      <c r="B17" s="372" t="s">
        <v>346</v>
      </c>
      <c r="C17"/>
      <c r="D17"/>
      <c r="E17"/>
      <c r="F17"/>
      <c r="G17"/>
    </row>
    <row r="18" spans="2:7">
      <c r="B18"/>
      <c r="C18"/>
      <c r="D18"/>
      <c r="E18"/>
      <c r="F18"/>
      <c r="G18"/>
    </row>
    <row r="19" spans="2:7">
      <c r="B19"/>
      <c r="C19"/>
      <c r="D19"/>
      <c r="E19"/>
      <c r="F19"/>
      <c r="G19"/>
    </row>
    <row r="20" spans="2:7">
      <c r="B20" s="124" t="s">
        <v>1183</v>
      </c>
      <c r="C20"/>
      <c r="D20"/>
      <c r="E20"/>
      <c r="F20"/>
      <c r="G20"/>
    </row>
    <row r="21" spans="2:7">
      <c r="B21" s="123" t="s">
        <v>1175</v>
      </c>
      <c r="C21"/>
      <c r="D21"/>
      <c r="E21"/>
      <c r="F21"/>
      <c r="G21"/>
    </row>
    <row r="22" spans="2:7">
      <c r="B22" s="123" t="s">
        <v>1177</v>
      </c>
    </row>
    <row r="23" spans="2:7">
      <c r="B23" s="123" t="s">
        <v>1179</v>
      </c>
    </row>
    <row r="24" spans="2:7">
      <c r="B24" s="123"/>
    </row>
    <row r="25" spans="2:7">
      <c r="B25" s="123"/>
    </row>
    <row r="26" spans="2:7">
      <c r="B26" s="123"/>
    </row>
    <row r="27" spans="2:7">
      <c r="B27" s="123"/>
    </row>
    <row r="28" spans="2:7">
      <c r="B28" s="123"/>
    </row>
    <row r="29" spans="2:7">
      <c r="B29" s="123"/>
    </row>
    <row r="31" spans="2:7">
      <c r="B31" s="123"/>
    </row>
    <row r="33" spans="2:2">
      <c r="B33" s="123"/>
    </row>
    <row r="35" spans="2:2">
      <c r="B35" s="123"/>
    </row>
    <row r="36" spans="2:2">
      <c r="B36" s="123"/>
    </row>
    <row r="37" spans="2:2">
      <c r="B37" s="123"/>
    </row>
  </sheetData>
  <sheetProtection formatCells="0" formatColumns="0" formatRows="0" insertHyperlinks="0"/>
  <mergeCells count="1">
    <mergeCell ref="B2:F2"/>
  </mergeCells>
  <hyperlinks>
    <hyperlink ref="B5" location="'5.1 Traffic RS'!B2" display="5.1 - Traffic risk sharing parameters" xr:uid="{00000000-0004-0000-3B00-000000000000}"/>
    <hyperlink ref="B6" location="'5.1 Traffic RS'!B4" display="5.1.1 Traffic risk sharing parameters" xr:uid="{00000000-0004-0000-3B00-000001000000}"/>
    <hyperlink ref="B7" location="'5.1 Traffic RS'!B56" display="5.1.2 Traffic risk sharing - Terminal charging zones" xr:uid="{00000000-0004-0000-3B00-000002000000}"/>
    <hyperlink ref="B17" location="'5.3 Optional Incentives'!B2" display="5.3 - Optional incentives" xr:uid="{00000000-0004-0000-3B00-000003000000}"/>
    <hyperlink ref="B10" location="'5.2.1 Capacity Incentives_ER'!B4" display="5.2.1 - Capacity incentive scheme - Enroute" xr:uid="{00000000-0004-0000-3B00-000004000000}"/>
    <hyperlink ref="B13" location="'5.2.2 Capacity Incentives_TMZ'!B2" display="5.2.2 - Capacity incentive scheme - Terminal" xr:uid="{00000000-0004-0000-3B00-000005000000}"/>
    <hyperlink ref="B9" location="'3.3.1 En route'!A1" display="5.2 - Capacity incentive schemes" xr:uid="{00000000-0004-0000-3B00-000006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106">
    <tabColor theme="2" tint="-0.249977111117893"/>
    <pageSetUpPr fitToPage="1"/>
  </sheetPr>
  <dimension ref="B2:J160"/>
  <sheetViews>
    <sheetView showGridLines="0" zoomScaleNormal="100" workbookViewId="0">
      <selection activeCell="E168" sqref="E168"/>
    </sheetView>
  </sheetViews>
  <sheetFormatPr defaultColWidth="9.140625" defaultRowHeight="15"/>
  <cols>
    <col min="2" max="2" width="32" customWidth="1"/>
    <col min="3" max="8" width="14.7109375" customWidth="1"/>
    <col min="9" max="9" width="1.7109375" customWidth="1"/>
    <col min="10" max="10" width="9.140625" customWidth="1"/>
    <col min="11" max="11" width="7.7109375" customWidth="1"/>
    <col min="12" max="12" width="13" customWidth="1"/>
    <col min="13" max="13" width="11.42578125" customWidth="1"/>
    <col min="25" max="25" width="9.140625" customWidth="1"/>
    <col min="29" max="29" width="22.28515625" customWidth="1"/>
  </cols>
  <sheetData>
    <row r="2" spans="2:10" ht="18.75">
      <c r="B2" s="45" t="s">
        <v>1395</v>
      </c>
    </row>
    <row r="3" spans="2:10" ht="15" customHeight="1">
      <c r="B3" s="31"/>
    </row>
    <row r="4" spans="2:10" ht="15" customHeight="1" thickBot="1">
      <c r="B4" s="315" t="s">
        <v>1394</v>
      </c>
      <c r="C4" s="315"/>
      <c r="D4" s="315"/>
      <c r="E4" s="315"/>
      <c r="F4" s="315"/>
      <c r="G4" s="315"/>
      <c r="H4" s="315"/>
    </row>
    <row r="5" spans="2:10" ht="15" customHeight="1"/>
    <row r="6" spans="2:10">
      <c r="B6" s="316" t="str">
        <f>IF('1.1 The situation'!C82="","",'1.1 The situation'!C82)</f>
        <v>Cyprus</v>
      </c>
      <c r="E6" s="810" t="s">
        <v>1396</v>
      </c>
      <c r="F6" s="1081"/>
      <c r="G6" s="811"/>
      <c r="H6" s="488" t="s">
        <v>1792</v>
      </c>
    </row>
    <row r="7" spans="2:10" ht="6.75" hidden="1" customHeight="1"/>
    <row r="8" spans="2:10" ht="15" customHeight="1">
      <c r="E8" s="888" t="s">
        <v>333</v>
      </c>
      <c r="F8" s="888"/>
      <c r="G8" s="888" t="s">
        <v>332</v>
      </c>
      <c r="H8" s="888"/>
    </row>
    <row r="9" spans="2:10" ht="30" customHeight="1">
      <c r="C9" s="313" t="s">
        <v>299</v>
      </c>
      <c r="D9" s="318" t="s">
        <v>300</v>
      </c>
      <c r="E9" s="319" t="s">
        <v>968</v>
      </c>
      <c r="F9" s="319" t="s">
        <v>334</v>
      </c>
      <c r="G9" s="319" t="s">
        <v>330</v>
      </c>
      <c r="H9" s="319" t="s">
        <v>331</v>
      </c>
    </row>
    <row r="10" spans="2:10" ht="15" customHeight="1">
      <c r="B10" s="320" t="s">
        <v>1397</v>
      </c>
      <c r="C10" s="321">
        <v>0.02</v>
      </c>
      <c r="D10" s="322">
        <v>0.1</v>
      </c>
      <c r="E10" s="323">
        <v>0.7</v>
      </c>
      <c r="F10" s="323">
        <f>($D10-$C10)*$E10</f>
        <v>5.5999999999999994E-2</v>
      </c>
      <c r="G10" s="323">
        <v>0.7</v>
      </c>
      <c r="H10" s="323">
        <f>($D10-$C10)*$G10</f>
        <v>5.5999999999999994E-2</v>
      </c>
    </row>
    <row r="11" spans="2:10" ht="15" hidden="1" customHeight="1">
      <c r="B11" s="320" t="s">
        <v>1398</v>
      </c>
      <c r="C11" s="324"/>
      <c r="D11" s="322">
        <v>0.1</v>
      </c>
      <c r="E11" s="325"/>
      <c r="F11" s="323">
        <f>($D11-$C11)*$E11</f>
        <v>0</v>
      </c>
      <c r="G11" s="325"/>
      <c r="H11" s="323">
        <f>($D11-$C11)*$G11</f>
        <v>0</v>
      </c>
      <c r="J11" s="326" t="str">
        <f>IF($F11&gt;$F10,"When reaching the 10% threshold, the maximum charged to airspace users cannot be higher than 5.6%","")</f>
        <v/>
      </c>
    </row>
    <row r="12" spans="2:10" ht="15" hidden="1" customHeight="1">
      <c r="J12" s="326" t="str">
        <f>IF(AND($H11&lt;$H10,$H6&lt;&gt;"Select"),"When reaching the 10% threshold, the minimum returned to airspace users cannot be lower than 5.6%","")</f>
        <v>When reaching the 10% threshold, the minimum returned to airspace users cannot be lower than 5.6%</v>
      </c>
    </row>
    <row r="13" spans="2:10" ht="84.95" hidden="1" customHeight="1">
      <c r="B13" s="314" t="s">
        <v>335</v>
      </c>
      <c r="C13" s="632"/>
      <c r="D13" s="633"/>
      <c r="E13" s="633"/>
      <c r="F13" s="633"/>
      <c r="G13" s="633"/>
      <c r="H13" s="724"/>
    </row>
    <row r="14" spans="2:10" ht="15" hidden="1" customHeight="1"/>
    <row r="15" spans="2:10" ht="15" customHeight="1"/>
    <row r="16" spans="2:10" hidden="1">
      <c r="B16" s="316" t="str">
        <f>IF('1.1 The situation'!C83="","",'1.1 The situation'!C83)</f>
        <v/>
      </c>
      <c r="E16" s="810" t="s">
        <v>1396</v>
      </c>
      <c r="F16" s="1081"/>
      <c r="G16" s="811"/>
      <c r="H16" s="317" t="s">
        <v>396</v>
      </c>
    </row>
    <row r="17" spans="2:10" ht="6.75" hidden="1" customHeight="1"/>
    <row r="18" spans="2:10" ht="15" hidden="1" customHeight="1">
      <c r="E18" s="888" t="s">
        <v>333</v>
      </c>
      <c r="F18" s="888"/>
      <c r="G18" s="888" t="s">
        <v>332</v>
      </c>
      <c r="H18" s="888"/>
    </row>
    <row r="19" spans="2:10" ht="30" hidden="1" customHeight="1">
      <c r="C19" s="313" t="s">
        <v>299</v>
      </c>
      <c r="D19" s="318" t="s">
        <v>300</v>
      </c>
      <c r="E19" s="319" t="s">
        <v>968</v>
      </c>
      <c r="F19" s="319" t="s">
        <v>334</v>
      </c>
      <c r="G19" s="319" t="s">
        <v>330</v>
      </c>
      <c r="H19" s="319" t="s">
        <v>331</v>
      </c>
    </row>
    <row r="20" spans="2:10" ht="15" hidden="1" customHeight="1">
      <c r="B20" s="320" t="s">
        <v>1397</v>
      </c>
      <c r="C20" s="321">
        <v>0.02</v>
      </c>
      <c r="D20" s="322">
        <v>0.1</v>
      </c>
      <c r="E20" s="323">
        <v>0.7</v>
      </c>
      <c r="F20" s="323">
        <f>($D20-$C20)*$E20</f>
        <v>5.5999999999999994E-2</v>
      </c>
      <c r="G20" s="323">
        <v>0.7</v>
      </c>
      <c r="H20" s="323">
        <f>($D20-$C20)*$G20</f>
        <v>5.5999999999999994E-2</v>
      </c>
    </row>
    <row r="21" spans="2:10" ht="15" hidden="1" customHeight="1">
      <c r="B21" s="320" t="s">
        <v>1398</v>
      </c>
      <c r="C21" s="324"/>
      <c r="D21" s="322">
        <v>0.1</v>
      </c>
      <c r="E21" s="325"/>
      <c r="F21" s="323">
        <f>($D21-$C21)*$E21</f>
        <v>0</v>
      </c>
      <c r="G21" s="325"/>
      <c r="H21" s="323">
        <f>($D21-$C21)*$G21</f>
        <v>0</v>
      </c>
      <c r="J21" s="326" t="str">
        <f>IF($F21&gt;$F20,"When reaching the 10% threshold, the maximum charged to airspace users cannot be higher than 5.6%","")</f>
        <v/>
      </c>
    </row>
    <row r="22" spans="2:10" ht="15" hidden="1" customHeight="1">
      <c r="J22" s="326" t="str">
        <f>IF(AND($H21&lt;$H20,$H16&lt;&gt;"Select"),"When reaching the 10% threshold, the minimum returned to airspace users cannot be lower than 5.6%","")</f>
        <v/>
      </c>
    </row>
    <row r="23" spans="2:10" ht="84.95" hidden="1" customHeight="1">
      <c r="B23" s="314" t="s">
        <v>335</v>
      </c>
      <c r="C23" s="632"/>
      <c r="D23" s="633"/>
      <c r="E23" s="633"/>
      <c r="F23" s="633"/>
      <c r="G23" s="633"/>
      <c r="H23" s="724"/>
    </row>
    <row r="24" spans="2:10" ht="15" hidden="1" customHeight="1"/>
    <row r="25" spans="2:10" ht="15" hidden="1" customHeight="1"/>
    <row r="26" spans="2:10" hidden="1">
      <c r="B26" s="316" t="str">
        <f>IF('1.1 The situation'!C84="","",'1.1 The situation'!C84)</f>
        <v/>
      </c>
      <c r="E26" s="810" t="s">
        <v>1396</v>
      </c>
      <c r="F26" s="1081"/>
      <c r="G26" s="811"/>
      <c r="H26" s="317" t="s">
        <v>396</v>
      </c>
    </row>
    <row r="27" spans="2:10" ht="6.75" hidden="1" customHeight="1"/>
    <row r="28" spans="2:10" ht="15" hidden="1" customHeight="1">
      <c r="E28" s="888" t="s">
        <v>333</v>
      </c>
      <c r="F28" s="888"/>
      <c r="G28" s="888" t="s">
        <v>332</v>
      </c>
      <c r="H28" s="888"/>
    </row>
    <row r="29" spans="2:10" ht="30" hidden="1" customHeight="1">
      <c r="C29" s="313" t="s">
        <v>299</v>
      </c>
      <c r="D29" s="318" t="s">
        <v>300</v>
      </c>
      <c r="E29" s="319" t="s">
        <v>968</v>
      </c>
      <c r="F29" s="319" t="s">
        <v>334</v>
      </c>
      <c r="G29" s="319" t="s">
        <v>330</v>
      </c>
      <c r="H29" s="319" t="s">
        <v>331</v>
      </c>
    </row>
    <row r="30" spans="2:10" ht="15" hidden="1" customHeight="1">
      <c r="B30" s="320" t="s">
        <v>1397</v>
      </c>
      <c r="C30" s="321">
        <v>0.02</v>
      </c>
      <c r="D30" s="322">
        <v>0.1</v>
      </c>
      <c r="E30" s="323">
        <v>0.7</v>
      </c>
      <c r="F30" s="323">
        <f>($D30-$C30)*$E30</f>
        <v>5.5999999999999994E-2</v>
      </c>
      <c r="G30" s="323">
        <v>0.7</v>
      </c>
      <c r="H30" s="323">
        <f>($D30-$C30)*$G30</f>
        <v>5.5999999999999994E-2</v>
      </c>
    </row>
    <row r="31" spans="2:10" ht="15" hidden="1" customHeight="1">
      <c r="B31" s="320" t="s">
        <v>1398</v>
      </c>
      <c r="C31" s="324"/>
      <c r="D31" s="322">
        <v>0.1</v>
      </c>
      <c r="E31" s="325"/>
      <c r="F31" s="323">
        <f>($D31-$C31)*$E31</f>
        <v>0</v>
      </c>
      <c r="G31" s="325"/>
      <c r="H31" s="323">
        <f>($D31-$C31)*$G31</f>
        <v>0</v>
      </c>
      <c r="J31" s="326" t="str">
        <f>IF($F31&gt;$F30,"When reaching the 10% threshold, the maximum charged to airspace users cannot be higher than 5.6%","")</f>
        <v/>
      </c>
    </row>
    <row r="32" spans="2:10" ht="15" hidden="1" customHeight="1">
      <c r="J32" s="326" t="str">
        <f>IF(AND($H31&lt;$H30,$H26&lt;&gt;"Select"),"When reaching the 10% threshold, the minimum returned to airspace users cannot be lower than 5.6%","")</f>
        <v/>
      </c>
    </row>
    <row r="33" spans="2:10" ht="84.95" hidden="1" customHeight="1">
      <c r="B33" s="314" t="s">
        <v>335</v>
      </c>
      <c r="C33" s="632"/>
      <c r="D33" s="633"/>
      <c r="E33" s="633"/>
      <c r="F33" s="633"/>
      <c r="G33" s="633"/>
      <c r="H33" s="724"/>
    </row>
    <row r="34" spans="2:10" ht="15" hidden="1" customHeight="1"/>
    <row r="35" spans="2:10" ht="15" hidden="1" customHeight="1"/>
    <row r="36" spans="2:10" hidden="1">
      <c r="B36" s="316" t="str">
        <f>IF('1.1 The situation'!C85="","",'1.1 The situation'!C85)</f>
        <v/>
      </c>
      <c r="E36" s="810" t="s">
        <v>1396</v>
      </c>
      <c r="F36" s="1081"/>
      <c r="G36" s="811"/>
      <c r="H36" s="317" t="s">
        <v>396</v>
      </c>
    </row>
    <row r="37" spans="2:10" ht="6.75" hidden="1" customHeight="1"/>
    <row r="38" spans="2:10" ht="15" hidden="1" customHeight="1">
      <c r="E38" s="888" t="s">
        <v>333</v>
      </c>
      <c r="F38" s="888"/>
      <c r="G38" s="888" t="s">
        <v>332</v>
      </c>
      <c r="H38" s="888"/>
    </row>
    <row r="39" spans="2:10" ht="30" hidden="1" customHeight="1">
      <c r="C39" s="313" t="s">
        <v>299</v>
      </c>
      <c r="D39" s="318" t="s">
        <v>300</v>
      </c>
      <c r="E39" s="319" t="s">
        <v>968</v>
      </c>
      <c r="F39" s="319" t="s">
        <v>334</v>
      </c>
      <c r="G39" s="319" t="s">
        <v>330</v>
      </c>
      <c r="H39" s="319" t="s">
        <v>331</v>
      </c>
    </row>
    <row r="40" spans="2:10" ht="15" hidden="1" customHeight="1">
      <c r="B40" s="320" t="s">
        <v>1397</v>
      </c>
      <c r="C40" s="321">
        <v>0.02</v>
      </c>
      <c r="D40" s="322">
        <v>0.1</v>
      </c>
      <c r="E40" s="323">
        <v>0.7</v>
      </c>
      <c r="F40" s="323">
        <f>($D40-$C40)*$E40</f>
        <v>5.5999999999999994E-2</v>
      </c>
      <c r="G40" s="323">
        <v>0.7</v>
      </c>
      <c r="H40" s="323">
        <f>($D40-$C40)*$G40</f>
        <v>5.5999999999999994E-2</v>
      </c>
    </row>
    <row r="41" spans="2:10" ht="15" hidden="1" customHeight="1">
      <c r="B41" s="320" t="s">
        <v>1398</v>
      </c>
      <c r="C41" s="324"/>
      <c r="D41" s="322">
        <v>0.1</v>
      </c>
      <c r="E41" s="325"/>
      <c r="F41" s="323">
        <f>($D41-$C41)*$E41</f>
        <v>0</v>
      </c>
      <c r="G41" s="325"/>
      <c r="H41" s="323">
        <f>($D41-$C41)*$G41</f>
        <v>0</v>
      </c>
      <c r="J41" s="326" t="str">
        <f>IF($F41&gt;$F40,"When reaching the 10% threshold, the maximum charged to airspace users cannot be higher than 5.6%","")</f>
        <v/>
      </c>
    </row>
    <row r="42" spans="2:10" ht="15" hidden="1" customHeight="1">
      <c r="J42" s="326" t="str">
        <f>IF(AND($H41&lt;$H40,$H36&lt;&gt;"Select"),"When reaching the 10% threshold, the minimum returned to airspace users cannot be lower than 5.6%","")</f>
        <v/>
      </c>
    </row>
    <row r="43" spans="2:10" ht="84.95" hidden="1" customHeight="1">
      <c r="B43" s="314" t="s">
        <v>335</v>
      </c>
      <c r="C43" s="632"/>
      <c r="D43" s="633"/>
      <c r="E43" s="633"/>
      <c r="F43" s="633"/>
      <c r="G43" s="633"/>
      <c r="H43" s="724"/>
    </row>
    <row r="44" spans="2:10" ht="15" hidden="1" customHeight="1"/>
    <row r="45" spans="2:10" ht="15" hidden="1" customHeight="1"/>
    <row r="46" spans="2:10" hidden="1">
      <c r="B46" s="316" t="str">
        <f>IF('1.1 The situation'!C86="","",'1.1 The situation'!C86)</f>
        <v/>
      </c>
      <c r="E46" s="810" t="s">
        <v>1396</v>
      </c>
      <c r="F46" s="1081"/>
      <c r="G46" s="811"/>
      <c r="H46" s="317" t="s">
        <v>396</v>
      </c>
    </row>
    <row r="47" spans="2:10" ht="6.75" hidden="1" customHeight="1"/>
    <row r="48" spans="2:10" ht="15" hidden="1" customHeight="1">
      <c r="E48" s="888" t="s">
        <v>333</v>
      </c>
      <c r="F48" s="888"/>
      <c r="G48" s="888" t="s">
        <v>332</v>
      </c>
      <c r="H48" s="888"/>
    </row>
    <row r="49" spans="2:10" ht="30" hidden="1" customHeight="1">
      <c r="C49" s="313" t="s">
        <v>299</v>
      </c>
      <c r="D49" s="318" t="s">
        <v>300</v>
      </c>
      <c r="E49" s="319" t="s">
        <v>968</v>
      </c>
      <c r="F49" s="319" t="s">
        <v>334</v>
      </c>
      <c r="G49" s="319" t="s">
        <v>330</v>
      </c>
      <c r="H49" s="319" t="s">
        <v>331</v>
      </c>
    </row>
    <row r="50" spans="2:10" ht="15" hidden="1" customHeight="1">
      <c r="B50" s="320" t="s">
        <v>1397</v>
      </c>
      <c r="C50" s="321">
        <v>0.02</v>
      </c>
      <c r="D50" s="322">
        <v>0.1</v>
      </c>
      <c r="E50" s="323">
        <v>0.7</v>
      </c>
      <c r="F50" s="323">
        <f>($D50-$C50)*$E50</f>
        <v>5.5999999999999994E-2</v>
      </c>
      <c r="G50" s="323">
        <v>0.7</v>
      </c>
      <c r="H50" s="323">
        <f>($D50-$C50)*$G50</f>
        <v>5.5999999999999994E-2</v>
      </c>
    </row>
    <row r="51" spans="2:10" ht="15" hidden="1" customHeight="1">
      <c r="B51" s="320" t="s">
        <v>1398</v>
      </c>
      <c r="C51" s="324"/>
      <c r="D51" s="322">
        <v>0.1</v>
      </c>
      <c r="E51" s="325"/>
      <c r="F51" s="323">
        <f>($D51-$C51)*$E51</f>
        <v>0</v>
      </c>
      <c r="G51" s="325"/>
      <c r="H51" s="323">
        <f>($D51-$C51)*$G51</f>
        <v>0</v>
      </c>
      <c r="J51" s="326" t="str">
        <f>IF($F51&gt;$F50,"When reaching the 10% threshold, the maximum charged to airspace users cannot be higher than 5.6%","")</f>
        <v/>
      </c>
    </row>
    <row r="52" spans="2:10" ht="15" hidden="1" customHeight="1">
      <c r="J52" s="326" t="str">
        <f>IF(AND($H51&lt;$H50,$H46&lt;&gt;"Select"),"When reaching the 10% threshold, the minimum returned to airspace users cannot be lower than 5.6%","")</f>
        <v/>
      </c>
    </row>
    <row r="53" spans="2:10" ht="84.95" hidden="1" customHeight="1">
      <c r="B53" s="314" t="s">
        <v>335</v>
      </c>
      <c r="C53" s="632"/>
      <c r="D53" s="633"/>
      <c r="E53" s="633"/>
      <c r="F53" s="633"/>
      <c r="G53" s="633"/>
      <c r="H53" s="724"/>
    </row>
    <row r="54" spans="2:10" ht="15" hidden="1" customHeight="1"/>
    <row r="55" spans="2:10" ht="15" hidden="1" customHeight="1"/>
    <row r="56" spans="2:10" ht="18" thickBot="1">
      <c r="B56" s="315" t="s">
        <v>1399</v>
      </c>
      <c r="C56" s="315"/>
      <c r="D56" s="315"/>
      <c r="E56" s="315"/>
      <c r="F56" s="315"/>
      <c r="G56" s="315"/>
      <c r="H56" s="315"/>
    </row>
    <row r="58" spans="2:10" hidden="1">
      <c r="B58" s="316" t="str">
        <f>IF('1.1 The situation'!C90="","",'1.1 The situation'!C90)</f>
        <v/>
      </c>
      <c r="E58" s="810" t="s">
        <v>1396</v>
      </c>
      <c r="F58" s="1081"/>
      <c r="G58" s="811"/>
      <c r="H58" s="317" t="s">
        <v>396</v>
      </c>
    </row>
    <row r="59" spans="2:10" ht="6.75" hidden="1" customHeight="1"/>
    <row r="60" spans="2:10" hidden="1">
      <c r="E60" s="888" t="s">
        <v>333</v>
      </c>
      <c r="F60" s="888"/>
      <c r="G60" s="888" t="s">
        <v>332</v>
      </c>
      <c r="H60" s="888"/>
    </row>
    <row r="61" spans="2:10" ht="30" hidden="1">
      <c r="C61" s="313" t="s">
        <v>299</v>
      </c>
      <c r="D61" s="318" t="s">
        <v>300</v>
      </c>
      <c r="E61" s="319" t="s">
        <v>968</v>
      </c>
      <c r="F61" s="319" t="s">
        <v>334</v>
      </c>
      <c r="G61" s="319" t="s">
        <v>330</v>
      </c>
      <c r="H61" s="319" t="s">
        <v>331</v>
      </c>
    </row>
    <row r="62" spans="2:10" hidden="1">
      <c r="B62" s="320" t="s">
        <v>1397</v>
      </c>
      <c r="C62" s="321">
        <v>0.02</v>
      </c>
      <c r="D62" s="322">
        <v>0.1</v>
      </c>
      <c r="E62" s="323">
        <v>0.7</v>
      </c>
      <c r="F62" s="323">
        <f>($D62-$C62)*$E62</f>
        <v>5.5999999999999994E-2</v>
      </c>
      <c r="G62" s="323">
        <v>0.7</v>
      </c>
      <c r="H62" s="323">
        <f>($D62-$C62)*$G62</f>
        <v>5.5999999999999994E-2</v>
      </c>
    </row>
    <row r="63" spans="2:10" hidden="1">
      <c r="B63" s="320" t="s">
        <v>1398</v>
      </c>
      <c r="C63" s="324"/>
      <c r="D63" s="322">
        <v>0.1</v>
      </c>
      <c r="E63" s="325"/>
      <c r="F63" s="323">
        <f>($D63-$C63)*$E63</f>
        <v>0</v>
      </c>
      <c r="G63" s="325"/>
      <c r="H63" s="323">
        <f>($D63-$C63)*$G63</f>
        <v>0</v>
      </c>
      <c r="J63" s="326" t="str">
        <f>IF($F63&gt;$F62,"When reaching the 10% threshold, the maximum charged to airspace users cannot be higher than 5.6%","")</f>
        <v/>
      </c>
    </row>
    <row r="64" spans="2:10" hidden="1">
      <c r="J64" s="326" t="str">
        <f>IF(AND($H63&lt;$H62,$H58&lt;&gt;"Select"),"When reaching the 10% threshold, the minimum returned to airspace users cannot be lower than 5.6%","")</f>
        <v/>
      </c>
    </row>
    <row r="65" spans="2:10" ht="84.95" hidden="1" customHeight="1">
      <c r="B65" s="314" t="s">
        <v>335</v>
      </c>
      <c r="C65" s="632"/>
      <c r="D65" s="633"/>
      <c r="E65" s="633"/>
      <c r="F65" s="633"/>
      <c r="G65" s="633"/>
      <c r="H65" s="724"/>
    </row>
    <row r="66" spans="2:10" hidden="1"/>
    <row r="67" spans="2:10" hidden="1"/>
    <row r="68" spans="2:10" hidden="1">
      <c r="B68" s="316" t="str">
        <f>IF('1.1 The situation'!C91="","",'1.1 The situation'!C91)</f>
        <v/>
      </c>
      <c r="E68" s="810" t="s">
        <v>1396</v>
      </c>
      <c r="F68" s="1081"/>
      <c r="G68" s="811"/>
      <c r="H68" s="317" t="s">
        <v>396</v>
      </c>
    </row>
    <row r="69" spans="2:10" ht="6.75" hidden="1" customHeight="1"/>
    <row r="70" spans="2:10" hidden="1">
      <c r="E70" s="888" t="s">
        <v>333</v>
      </c>
      <c r="F70" s="888"/>
      <c r="G70" s="888" t="s">
        <v>332</v>
      </c>
      <c r="H70" s="888"/>
    </row>
    <row r="71" spans="2:10" ht="30" hidden="1">
      <c r="C71" s="313" t="s">
        <v>299</v>
      </c>
      <c r="D71" s="318" t="s">
        <v>300</v>
      </c>
      <c r="E71" s="319" t="s">
        <v>968</v>
      </c>
      <c r="F71" s="319" t="s">
        <v>334</v>
      </c>
      <c r="G71" s="319" t="s">
        <v>330</v>
      </c>
      <c r="H71" s="319" t="s">
        <v>331</v>
      </c>
    </row>
    <row r="72" spans="2:10" hidden="1">
      <c r="B72" s="320" t="s">
        <v>1397</v>
      </c>
      <c r="C72" s="321">
        <v>0.02</v>
      </c>
      <c r="D72" s="322">
        <v>0.1</v>
      </c>
      <c r="E72" s="323">
        <v>0.7</v>
      </c>
      <c r="F72" s="323">
        <f>($D72-$C72)*$E72</f>
        <v>5.5999999999999994E-2</v>
      </c>
      <c r="G72" s="323">
        <v>0.7</v>
      </c>
      <c r="H72" s="323">
        <f>($D72-$C72)*$G72</f>
        <v>5.5999999999999994E-2</v>
      </c>
    </row>
    <row r="73" spans="2:10" hidden="1">
      <c r="B73" s="320" t="s">
        <v>1398</v>
      </c>
      <c r="C73" s="324"/>
      <c r="D73" s="322">
        <v>0.1</v>
      </c>
      <c r="E73" s="325"/>
      <c r="F73" s="323">
        <f>($D73-$C73)*$E73</f>
        <v>0</v>
      </c>
      <c r="G73" s="325"/>
      <c r="H73" s="323">
        <f>($D73-$C73)*$G73</f>
        <v>0</v>
      </c>
      <c r="J73" s="326" t="str">
        <f>IF($F73&gt;$F72,"When reaching the 10% threshold, the maximum charged to airspace users cannot be higher than 5.6%","")</f>
        <v/>
      </c>
    </row>
    <row r="74" spans="2:10" hidden="1">
      <c r="J74" s="326" t="str">
        <f>IF(AND($H73&lt;$H72,$H68&lt;&gt;"Select"),"When reaching the 10% threshold, the minimum returned to airspace users cannot be lower than 5.6%","")</f>
        <v/>
      </c>
    </row>
    <row r="75" spans="2:10" ht="87" hidden="1" customHeight="1">
      <c r="B75" s="314" t="s">
        <v>335</v>
      </c>
      <c r="C75" s="632"/>
      <c r="D75" s="633"/>
      <c r="E75" s="633"/>
      <c r="F75" s="633"/>
      <c r="G75" s="633"/>
      <c r="H75" s="724"/>
    </row>
    <row r="76" spans="2:10" hidden="1"/>
    <row r="77" spans="2:10" hidden="1"/>
    <row r="78" spans="2:10" hidden="1">
      <c r="B78" s="316" t="str">
        <f>IF('1.1 The situation'!C92="","",'1.1 The situation'!C92)</f>
        <v/>
      </c>
      <c r="E78" s="810" t="s">
        <v>1396</v>
      </c>
      <c r="F78" s="1081"/>
      <c r="G78" s="811"/>
      <c r="H78" s="317" t="s">
        <v>396</v>
      </c>
    </row>
    <row r="79" spans="2:10" ht="6.75" hidden="1" customHeight="1"/>
    <row r="80" spans="2:10" hidden="1">
      <c r="E80" s="888" t="s">
        <v>333</v>
      </c>
      <c r="F80" s="888"/>
      <c r="G80" s="888" t="s">
        <v>332</v>
      </c>
      <c r="H80" s="888"/>
    </row>
    <row r="81" spans="2:10" ht="30" hidden="1">
      <c r="C81" s="313" t="s">
        <v>299</v>
      </c>
      <c r="D81" s="318" t="s">
        <v>300</v>
      </c>
      <c r="E81" s="319" t="s">
        <v>968</v>
      </c>
      <c r="F81" s="319" t="s">
        <v>334</v>
      </c>
      <c r="G81" s="319" t="s">
        <v>330</v>
      </c>
      <c r="H81" s="319" t="s">
        <v>331</v>
      </c>
    </row>
    <row r="82" spans="2:10" hidden="1">
      <c r="B82" s="320" t="s">
        <v>1397</v>
      </c>
      <c r="C82" s="321">
        <v>0.02</v>
      </c>
      <c r="D82" s="322">
        <v>0.1</v>
      </c>
      <c r="E82" s="323">
        <v>0.7</v>
      </c>
      <c r="F82" s="323">
        <f>($D82-$C82)*$E82</f>
        <v>5.5999999999999994E-2</v>
      </c>
      <c r="G82" s="323">
        <v>0.7</v>
      </c>
      <c r="H82" s="323">
        <f>($D82-$C82)*$G82</f>
        <v>5.5999999999999994E-2</v>
      </c>
    </row>
    <row r="83" spans="2:10" hidden="1">
      <c r="B83" s="320" t="s">
        <v>1398</v>
      </c>
      <c r="C83" s="324"/>
      <c r="D83" s="322">
        <v>0.1</v>
      </c>
      <c r="E83" s="325"/>
      <c r="F83" s="323">
        <f>($D83-$C83)*$E83</f>
        <v>0</v>
      </c>
      <c r="G83" s="325"/>
      <c r="H83" s="323">
        <f>($D83-$C83)*$G83</f>
        <v>0</v>
      </c>
      <c r="J83" s="326" t="str">
        <f>IF($F83&gt;$F82,"When reaching the 10% threshold, the maximum charged to airspace users cannot be higher than 5.6%","")</f>
        <v/>
      </c>
    </row>
    <row r="84" spans="2:10" hidden="1">
      <c r="J84" s="326" t="str">
        <f>IF(AND($H83&lt;$H82,$H78&lt;&gt;"Select"),"When reaching the 10% threshold, the minimum returned to airspace users cannot be lower than 5.6%","")</f>
        <v/>
      </c>
    </row>
    <row r="85" spans="2:10" ht="87" hidden="1" customHeight="1">
      <c r="B85" s="314" t="s">
        <v>335</v>
      </c>
      <c r="C85" s="632"/>
      <c r="D85" s="633"/>
      <c r="E85" s="633"/>
      <c r="F85" s="633"/>
      <c r="G85" s="633"/>
      <c r="H85" s="724"/>
    </row>
    <row r="86" spans="2:10" hidden="1"/>
    <row r="87" spans="2:10" hidden="1"/>
    <row r="88" spans="2:10" hidden="1">
      <c r="B88" s="316" t="str">
        <f>IF('1.1 The situation'!C93="","",'1.1 The situation'!C93)</f>
        <v/>
      </c>
      <c r="E88" s="810" t="s">
        <v>1396</v>
      </c>
      <c r="F88" s="1081"/>
      <c r="G88" s="811"/>
      <c r="H88" s="317" t="s">
        <v>396</v>
      </c>
    </row>
    <row r="89" spans="2:10" ht="6.75" hidden="1" customHeight="1"/>
    <row r="90" spans="2:10" hidden="1">
      <c r="E90" s="888" t="s">
        <v>333</v>
      </c>
      <c r="F90" s="888"/>
      <c r="G90" s="888" t="s">
        <v>332</v>
      </c>
      <c r="H90" s="888"/>
    </row>
    <row r="91" spans="2:10" ht="30" hidden="1">
      <c r="C91" s="313" t="s">
        <v>299</v>
      </c>
      <c r="D91" s="318" t="s">
        <v>300</v>
      </c>
      <c r="E91" s="319" t="s">
        <v>968</v>
      </c>
      <c r="F91" s="319" t="s">
        <v>334</v>
      </c>
      <c r="G91" s="319" t="s">
        <v>330</v>
      </c>
      <c r="H91" s="319" t="s">
        <v>331</v>
      </c>
    </row>
    <row r="92" spans="2:10" hidden="1">
      <c r="B92" s="320" t="s">
        <v>1397</v>
      </c>
      <c r="C92" s="321">
        <v>0.02</v>
      </c>
      <c r="D92" s="322">
        <v>0.1</v>
      </c>
      <c r="E92" s="323">
        <v>0.7</v>
      </c>
      <c r="F92" s="323">
        <f>($D92-$C92)*$E92</f>
        <v>5.5999999999999994E-2</v>
      </c>
      <c r="G92" s="323">
        <v>0.7</v>
      </c>
      <c r="H92" s="323">
        <f>($D92-$C92)*$G92</f>
        <v>5.5999999999999994E-2</v>
      </c>
    </row>
    <row r="93" spans="2:10" hidden="1">
      <c r="B93" s="320" t="s">
        <v>1398</v>
      </c>
      <c r="C93" s="324"/>
      <c r="D93" s="322">
        <v>0.1</v>
      </c>
      <c r="E93" s="325"/>
      <c r="F93" s="323">
        <f>($D93-$C93)*$E93</f>
        <v>0</v>
      </c>
      <c r="G93" s="325"/>
      <c r="H93" s="323">
        <f>($D93-$C93)*$G93</f>
        <v>0</v>
      </c>
      <c r="J93" s="326" t="str">
        <f>IF($F93&gt;$F92,"When reaching the 10% threshold, the maximum charged to airspace users cannot be higher than 5.6%","")</f>
        <v/>
      </c>
    </row>
    <row r="94" spans="2:10" hidden="1">
      <c r="J94" s="326" t="str">
        <f>IF(AND($H93&lt;$H92,$H88&lt;&gt;"Select"),"When reaching the 10% threshold, the minimum returned to airspace users cannot be lower than 5.6%","")</f>
        <v/>
      </c>
    </row>
    <row r="95" spans="2:10" ht="87" hidden="1" customHeight="1">
      <c r="B95" s="314" t="s">
        <v>335</v>
      </c>
      <c r="C95" s="632"/>
      <c r="D95" s="633"/>
      <c r="E95" s="633"/>
      <c r="F95" s="633"/>
      <c r="G95" s="633"/>
      <c r="H95" s="724"/>
    </row>
    <row r="96" spans="2:10" hidden="1"/>
    <row r="97" spans="2:10" hidden="1"/>
    <row r="98" spans="2:10" hidden="1">
      <c r="B98" s="316" t="str">
        <f>IF('1.1 The situation'!C94="","",'1.1 The situation'!C94)</f>
        <v/>
      </c>
      <c r="E98" s="810" t="s">
        <v>1396</v>
      </c>
      <c r="F98" s="1081"/>
      <c r="G98" s="811"/>
      <c r="H98" s="317" t="s">
        <v>396</v>
      </c>
    </row>
    <row r="99" spans="2:10" ht="6.75" hidden="1" customHeight="1"/>
    <row r="100" spans="2:10" hidden="1">
      <c r="E100" s="888" t="s">
        <v>333</v>
      </c>
      <c r="F100" s="888"/>
      <c r="G100" s="888" t="s">
        <v>332</v>
      </c>
      <c r="H100" s="888"/>
    </row>
    <row r="101" spans="2:10" ht="30" hidden="1">
      <c r="C101" s="313" t="s">
        <v>299</v>
      </c>
      <c r="D101" s="318" t="s">
        <v>300</v>
      </c>
      <c r="E101" s="319" t="s">
        <v>968</v>
      </c>
      <c r="F101" s="319" t="s">
        <v>334</v>
      </c>
      <c r="G101" s="319" t="s">
        <v>330</v>
      </c>
      <c r="H101" s="319" t="s">
        <v>331</v>
      </c>
    </row>
    <row r="102" spans="2:10" hidden="1">
      <c r="B102" s="320" t="s">
        <v>1397</v>
      </c>
      <c r="C102" s="321">
        <v>0.02</v>
      </c>
      <c r="D102" s="322">
        <v>0.1</v>
      </c>
      <c r="E102" s="323">
        <v>0.7</v>
      </c>
      <c r="F102" s="323">
        <f>($D102-$C102)*$E102</f>
        <v>5.5999999999999994E-2</v>
      </c>
      <c r="G102" s="323">
        <v>0.7</v>
      </c>
      <c r="H102" s="323">
        <f>($D102-$C102)*$G102</f>
        <v>5.5999999999999994E-2</v>
      </c>
    </row>
    <row r="103" spans="2:10" hidden="1">
      <c r="B103" s="320" t="s">
        <v>1398</v>
      </c>
      <c r="C103" s="324"/>
      <c r="D103" s="322">
        <v>0.1</v>
      </c>
      <c r="E103" s="325"/>
      <c r="F103" s="323">
        <f>($D103-$C103)*$E103</f>
        <v>0</v>
      </c>
      <c r="G103" s="325"/>
      <c r="H103" s="323">
        <f>($D103-$C103)*$G103</f>
        <v>0</v>
      </c>
      <c r="J103" s="326" t="str">
        <f>IF($F103&gt;$F102,"When reaching the 10% threshold, the maximum charged to airspace users cannot be higher than 5.6%","")</f>
        <v/>
      </c>
    </row>
    <row r="104" spans="2:10" hidden="1">
      <c r="J104" s="326" t="str">
        <f>IF(AND($H103&lt;$H102,$H98&lt;&gt;"Select"),"When reaching the 10% threshold, the minimum returned to airspace users cannot be lower than 5.6%","")</f>
        <v/>
      </c>
    </row>
    <row r="105" spans="2:10" ht="87" hidden="1" customHeight="1">
      <c r="B105" s="314" t="s">
        <v>335</v>
      </c>
      <c r="C105" s="632"/>
      <c r="D105" s="633"/>
      <c r="E105" s="633"/>
      <c r="F105" s="633"/>
      <c r="G105" s="633"/>
      <c r="H105" s="724"/>
    </row>
    <row r="106" spans="2:10" hidden="1"/>
    <row r="107" spans="2:10" hidden="1"/>
    <row r="108" spans="2:10" hidden="1">
      <c r="B108" s="316" t="str">
        <f>IF('1.1 The situation'!C95="","",'1.1 The situation'!C95)</f>
        <v/>
      </c>
      <c r="E108" s="810" t="s">
        <v>1396</v>
      </c>
      <c r="F108" s="1081"/>
      <c r="G108" s="811"/>
      <c r="H108" s="317" t="s">
        <v>396</v>
      </c>
    </row>
    <row r="109" spans="2:10" ht="6.75" hidden="1" customHeight="1"/>
    <row r="110" spans="2:10" hidden="1">
      <c r="E110" s="888" t="s">
        <v>333</v>
      </c>
      <c r="F110" s="888"/>
      <c r="G110" s="888" t="s">
        <v>332</v>
      </c>
      <c r="H110" s="888"/>
    </row>
    <row r="111" spans="2:10" ht="30" hidden="1">
      <c r="C111" s="313" t="s">
        <v>299</v>
      </c>
      <c r="D111" s="318" t="s">
        <v>300</v>
      </c>
      <c r="E111" s="319" t="s">
        <v>968</v>
      </c>
      <c r="F111" s="319" t="s">
        <v>334</v>
      </c>
      <c r="G111" s="319" t="s">
        <v>330</v>
      </c>
      <c r="H111" s="319" t="s">
        <v>331</v>
      </c>
    </row>
    <row r="112" spans="2:10" hidden="1">
      <c r="B112" s="320" t="s">
        <v>1397</v>
      </c>
      <c r="C112" s="321">
        <v>0.02</v>
      </c>
      <c r="D112" s="322">
        <v>0.1</v>
      </c>
      <c r="E112" s="323">
        <v>0.7</v>
      </c>
      <c r="F112" s="323">
        <f>($D112-$C112)*$E112</f>
        <v>5.5999999999999994E-2</v>
      </c>
      <c r="G112" s="323">
        <v>0.7</v>
      </c>
      <c r="H112" s="323">
        <f>($D112-$C112)*$G112</f>
        <v>5.5999999999999994E-2</v>
      </c>
    </row>
    <row r="113" spans="2:10" hidden="1">
      <c r="B113" s="320" t="s">
        <v>1398</v>
      </c>
      <c r="C113" s="324"/>
      <c r="D113" s="322">
        <v>0.1</v>
      </c>
      <c r="E113" s="325"/>
      <c r="F113" s="323">
        <f>($D113-$C113)*$E113</f>
        <v>0</v>
      </c>
      <c r="G113" s="325"/>
      <c r="H113" s="323">
        <f>($D113-$C113)*$G113</f>
        <v>0</v>
      </c>
      <c r="J113" s="326" t="str">
        <f>IF($F113&gt;$F112,"When reaching the 10% threshold, the maximum charged to airspace users cannot be higher than 5.6%","")</f>
        <v/>
      </c>
    </row>
    <row r="114" spans="2:10" hidden="1">
      <c r="J114" s="326" t="str">
        <f>IF(AND($H113&lt;$H112,$H108&lt;&gt;"Select"),"When reaching the 10% threshold, the minimum returned to airspace users cannot be lower than 5.6%","")</f>
        <v/>
      </c>
    </row>
    <row r="115" spans="2:10" ht="84.95" hidden="1" customHeight="1">
      <c r="B115" s="314" t="s">
        <v>335</v>
      </c>
      <c r="C115" s="632"/>
      <c r="D115" s="633"/>
      <c r="E115" s="633"/>
      <c r="F115" s="633"/>
      <c r="G115" s="633"/>
      <c r="H115" s="724"/>
    </row>
    <row r="116" spans="2:10" hidden="1"/>
    <row r="117" spans="2:10" hidden="1"/>
    <row r="118" spans="2:10" hidden="1">
      <c r="B118" s="316" t="str">
        <f>IF('1.1 The situation'!C96="","",'1.1 The situation'!C96)</f>
        <v/>
      </c>
      <c r="E118" s="810" t="s">
        <v>1396</v>
      </c>
      <c r="F118" s="1081"/>
      <c r="G118" s="811"/>
      <c r="H118" s="317" t="s">
        <v>396</v>
      </c>
    </row>
    <row r="119" spans="2:10" ht="6.75" hidden="1" customHeight="1"/>
    <row r="120" spans="2:10" hidden="1">
      <c r="E120" s="888" t="s">
        <v>333</v>
      </c>
      <c r="F120" s="888"/>
      <c r="G120" s="888" t="s">
        <v>332</v>
      </c>
      <c r="H120" s="888"/>
    </row>
    <row r="121" spans="2:10" ht="30" hidden="1">
      <c r="C121" s="313" t="s">
        <v>299</v>
      </c>
      <c r="D121" s="318" t="s">
        <v>300</v>
      </c>
      <c r="E121" s="319" t="s">
        <v>968</v>
      </c>
      <c r="F121" s="319" t="s">
        <v>334</v>
      </c>
      <c r="G121" s="319" t="s">
        <v>330</v>
      </c>
      <c r="H121" s="319" t="s">
        <v>331</v>
      </c>
    </row>
    <row r="122" spans="2:10" hidden="1">
      <c r="B122" s="320" t="s">
        <v>1397</v>
      </c>
      <c r="C122" s="321">
        <v>0.02</v>
      </c>
      <c r="D122" s="322">
        <v>0.1</v>
      </c>
      <c r="E122" s="323">
        <v>0.7</v>
      </c>
      <c r="F122" s="323">
        <f>($D122-$C122)*$E122</f>
        <v>5.5999999999999994E-2</v>
      </c>
      <c r="G122" s="323">
        <v>0.7</v>
      </c>
      <c r="H122" s="323">
        <f>($D122-$C122)*$G122</f>
        <v>5.5999999999999994E-2</v>
      </c>
    </row>
    <row r="123" spans="2:10" hidden="1">
      <c r="B123" s="320" t="s">
        <v>1398</v>
      </c>
      <c r="C123" s="324"/>
      <c r="D123" s="322">
        <v>0.1</v>
      </c>
      <c r="E123" s="325"/>
      <c r="F123" s="323">
        <f>($D123-$C123)*$E123</f>
        <v>0</v>
      </c>
      <c r="G123" s="325"/>
      <c r="H123" s="323">
        <f>($D123-$C123)*$G123</f>
        <v>0</v>
      </c>
      <c r="J123" s="326" t="str">
        <f>IF($F123&gt;$F122,"When reaching the 10% threshold, the maximum charged to airspace users cannot be higher than 5.6%","")</f>
        <v/>
      </c>
    </row>
    <row r="124" spans="2:10" hidden="1">
      <c r="J124" s="326" t="str">
        <f>IF(AND($H123&lt;$H122,$H118&lt;&gt;"Select"),"When reaching the 10% threshold, the minimum returned to airspace users cannot be lower than 5.6%","")</f>
        <v/>
      </c>
    </row>
    <row r="125" spans="2:10" ht="87" hidden="1" customHeight="1">
      <c r="B125" s="314" t="s">
        <v>335</v>
      </c>
      <c r="C125" s="632"/>
      <c r="D125" s="633"/>
      <c r="E125" s="633"/>
      <c r="F125" s="633"/>
      <c r="G125" s="633"/>
      <c r="H125" s="724"/>
    </row>
    <row r="126" spans="2:10" hidden="1"/>
    <row r="127" spans="2:10" hidden="1"/>
    <row r="128" spans="2:10" hidden="1">
      <c r="B128" s="316" t="str">
        <f>IF('1.1 The situation'!C97="","",'1.1 The situation'!C97)</f>
        <v/>
      </c>
      <c r="E128" s="810" t="s">
        <v>1396</v>
      </c>
      <c r="F128" s="1081"/>
      <c r="G128" s="811"/>
      <c r="H128" s="317" t="s">
        <v>396</v>
      </c>
    </row>
    <row r="129" spans="2:10" ht="6.75" hidden="1" customHeight="1"/>
    <row r="130" spans="2:10" hidden="1">
      <c r="E130" s="888" t="s">
        <v>333</v>
      </c>
      <c r="F130" s="888"/>
      <c r="G130" s="888" t="s">
        <v>332</v>
      </c>
      <c r="H130" s="888"/>
    </row>
    <row r="131" spans="2:10" ht="30" hidden="1">
      <c r="C131" s="313" t="s">
        <v>299</v>
      </c>
      <c r="D131" s="318" t="s">
        <v>300</v>
      </c>
      <c r="E131" s="319" t="s">
        <v>968</v>
      </c>
      <c r="F131" s="319" t="s">
        <v>334</v>
      </c>
      <c r="G131" s="319" t="s">
        <v>330</v>
      </c>
      <c r="H131" s="319" t="s">
        <v>331</v>
      </c>
    </row>
    <row r="132" spans="2:10" hidden="1">
      <c r="B132" s="320" t="s">
        <v>1397</v>
      </c>
      <c r="C132" s="321">
        <v>0.02</v>
      </c>
      <c r="D132" s="322">
        <v>0.1</v>
      </c>
      <c r="E132" s="323">
        <v>0.7</v>
      </c>
      <c r="F132" s="323">
        <f>($D132-$C132)*$E132</f>
        <v>5.5999999999999994E-2</v>
      </c>
      <c r="G132" s="323">
        <v>0.7</v>
      </c>
      <c r="H132" s="323">
        <f>($D132-$C132)*$G132</f>
        <v>5.5999999999999994E-2</v>
      </c>
    </row>
    <row r="133" spans="2:10" hidden="1">
      <c r="B133" s="320" t="s">
        <v>1398</v>
      </c>
      <c r="C133" s="324"/>
      <c r="D133" s="322">
        <v>0.1</v>
      </c>
      <c r="E133" s="325"/>
      <c r="F133" s="323">
        <f>($D133-$C133)*$E133</f>
        <v>0</v>
      </c>
      <c r="G133" s="325"/>
      <c r="H133" s="323">
        <f>($D133-$C133)*$G133</f>
        <v>0</v>
      </c>
      <c r="J133" s="326" t="str">
        <f>IF($F133&gt;$F132,"When reaching the 10% threshold, the maximum charged to airspace users cannot be higher than 5.6%","")</f>
        <v/>
      </c>
    </row>
    <row r="134" spans="2:10" hidden="1">
      <c r="J134" s="326" t="str">
        <f>IF(AND($H133&lt;$H132,$H128&lt;&gt;"Select"),"When reaching the 10% threshold, the minimum returned to airspace users cannot be lower than 5.6%","")</f>
        <v/>
      </c>
    </row>
    <row r="135" spans="2:10" ht="87" hidden="1" customHeight="1">
      <c r="B135" s="314" t="s">
        <v>335</v>
      </c>
      <c r="C135" s="632"/>
      <c r="D135" s="633"/>
      <c r="E135" s="633"/>
      <c r="F135" s="633"/>
      <c r="G135" s="633"/>
      <c r="H135" s="724"/>
    </row>
    <row r="136" spans="2:10" hidden="1"/>
    <row r="137" spans="2:10" hidden="1"/>
    <row r="138" spans="2:10" hidden="1">
      <c r="B138" s="316" t="str">
        <f>IF('1.1 The situation'!C98="","",'1.1 The situation'!C98)</f>
        <v/>
      </c>
      <c r="E138" s="810" t="s">
        <v>1396</v>
      </c>
      <c r="F138" s="1081"/>
      <c r="G138" s="811"/>
      <c r="H138" s="317" t="s">
        <v>396</v>
      </c>
    </row>
    <row r="139" spans="2:10" ht="6.75" hidden="1" customHeight="1"/>
    <row r="140" spans="2:10" hidden="1">
      <c r="E140" s="888" t="s">
        <v>333</v>
      </c>
      <c r="F140" s="888"/>
      <c r="G140" s="888" t="s">
        <v>332</v>
      </c>
      <c r="H140" s="888"/>
    </row>
    <row r="141" spans="2:10" ht="30" hidden="1">
      <c r="C141" s="313" t="s">
        <v>299</v>
      </c>
      <c r="D141" s="318" t="s">
        <v>300</v>
      </c>
      <c r="E141" s="319" t="s">
        <v>968</v>
      </c>
      <c r="F141" s="319" t="s">
        <v>334</v>
      </c>
      <c r="G141" s="319" t="s">
        <v>330</v>
      </c>
      <c r="H141" s="319" t="s">
        <v>331</v>
      </c>
    </row>
    <row r="142" spans="2:10" hidden="1">
      <c r="B142" s="320" t="s">
        <v>1397</v>
      </c>
      <c r="C142" s="321">
        <v>0.02</v>
      </c>
      <c r="D142" s="322">
        <v>0.1</v>
      </c>
      <c r="E142" s="323">
        <v>0.7</v>
      </c>
      <c r="F142" s="323">
        <f>($D142-$C142)*$E142</f>
        <v>5.5999999999999994E-2</v>
      </c>
      <c r="G142" s="323">
        <v>0.7</v>
      </c>
      <c r="H142" s="323">
        <f>($D142-$C142)*$G142</f>
        <v>5.5999999999999994E-2</v>
      </c>
    </row>
    <row r="143" spans="2:10" hidden="1">
      <c r="B143" s="320" t="s">
        <v>1398</v>
      </c>
      <c r="C143" s="324"/>
      <c r="D143" s="322">
        <v>0.1</v>
      </c>
      <c r="E143" s="325"/>
      <c r="F143" s="323">
        <f>($D143-$C143)*$E143</f>
        <v>0</v>
      </c>
      <c r="G143" s="325"/>
      <c r="H143" s="323">
        <f>($D143-$C143)*$G143</f>
        <v>0</v>
      </c>
      <c r="J143" s="326" t="str">
        <f>IF($F143&gt;$F142,"When reaching the 10% threshold, the maximum charged to airspace users cannot be higher than 5.6%","")</f>
        <v/>
      </c>
    </row>
    <row r="144" spans="2:10" hidden="1">
      <c r="J144" s="326" t="str">
        <f>IF(AND($H143&lt;$H142,$H138&lt;&gt;"Select"),"When reaching the 10% threshold, the minimum returned to airspace users cannot be lower than 5.6%","")</f>
        <v/>
      </c>
    </row>
    <row r="145" spans="2:10" ht="87" hidden="1" customHeight="1">
      <c r="B145" s="314" t="s">
        <v>335</v>
      </c>
      <c r="C145" s="632"/>
      <c r="D145" s="633"/>
      <c r="E145" s="633"/>
      <c r="F145" s="633"/>
      <c r="G145" s="633"/>
      <c r="H145" s="724"/>
    </row>
    <row r="146" spans="2:10" hidden="1"/>
    <row r="147" spans="2:10" hidden="1"/>
    <row r="148" spans="2:10" hidden="1">
      <c r="B148" s="316" t="str">
        <f>IF('1.1 The situation'!C99="","",'1.1 The situation'!C99)</f>
        <v/>
      </c>
      <c r="E148" s="810" t="s">
        <v>1396</v>
      </c>
      <c r="F148" s="1081"/>
      <c r="G148" s="811"/>
      <c r="H148" s="317" t="s">
        <v>396</v>
      </c>
    </row>
    <row r="149" spans="2:10" ht="6.75" hidden="1" customHeight="1"/>
    <row r="150" spans="2:10" hidden="1">
      <c r="E150" s="888" t="s">
        <v>333</v>
      </c>
      <c r="F150" s="888"/>
      <c r="G150" s="888" t="s">
        <v>332</v>
      </c>
      <c r="H150" s="888"/>
    </row>
    <row r="151" spans="2:10" ht="30" hidden="1">
      <c r="C151" s="313" t="s">
        <v>299</v>
      </c>
      <c r="D151" s="318" t="s">
        <v>300</v>
      </c>
      <c r="E151" s="319" t="s">
        <v>968</v>
      </c>
      <c r="F151" s="319" t="s">
        <v>334</v>
      </c>
      <c r="G151" s="319" t="s">
        <v>330</v>
      </c>
      <c r="H151" s="319" t="s">
        <v>331</v>
      </c>
    </row>
    <row r="152" spans="2:10" hidden="1">
      <c r="B152" s="320" t="s">
        <v>1397</v>
      </c>
      <c r="C152" s="321">
        <v>0.02</v>
      </c>
      <c r="D152" s="322">
        <v>0.1</v>
      </c>
      <c r="E152" s="323">
        <v>0.7</v>
      </c>
      <c r="F152" s="323">
        <f>($D152-$C152)*$E152</f>
        <v>5.5999999999999994E-2</v>
      </c>
      <c r="G152" s="323">
        <v>0.7</v>
      </c>
      <c r="H152" s="323">
        <f>($D152-$C152)*$G152</f>
        <v>5.5999999999999994E-2</v>
      </c>
    </row>
    <row r="153" spans="2:10" hidden="1">
      <c r="B153" s="320" t="s">
        <v>1398</v>
      </c>
      <c r="C153" s="324"/>
      <c r="D153" s="322">
        <v>0.1</v>
      </c>
      <c r="E153" s="325"/>
      <c r="F153" s="323">
        <f>($D153-$C153)*$E153</f>
        <v>0</v>
      </c>
      <c r="G153" s="325"/>
      <c r="H153" s="323">
        <f>($D153-$C153)*$G153</f>
        <v>0</v>
      </c>
      <c r="J153" s="326" t="str">
        <f>IF($F153&gt;$F152,"When reaching the 10% threshold, the maximum charged to airspace users cannot be higher than 5.6%","")</f>
        <v/>
      </c>
    </row>
    <row r="154" spans="2:10" hidden="1">
      <c r="J154" s="326" t="str">
        <f>IF(AND($H153&lt;$H152,$H148&lt;&gt;"Select"),"When reaching the 10% threshold, the minimum returned to airspace users cannot be lower than 5.6%","")</f>
        <v/>
      </c>
    </row>
    <row r="155" spans="2:10" ht="87" hidden="1" customHeight="1">
      <c r="B155" s="314" t="s">
        <v>335</v>
      </c>
      <c r="C155" s="632"/>
      <c r="D155" s="633"/>
      <c r="E155" s="633"/>
      <c r="F155" s="633"/>
      <c r="G155" s="633"/>
      <c r="H155" s="724"/>
    </row>
    <row r="156" spans="2:10" hidden="1"/>
    <row r="157" spans="2:10" hidden="1"/>
    <row r="160" spans="2:10" ht="15" customHeight="1"/>
  </sheetData>
  <sheetProtection formatCells="0" formatColumns="0" formatRows="0" insertHyperlinks="0"/>
  <mergeCells count="60">
    <mergeCell ref="E148:G148"/>
    <mergeCell ref="E150:F150"/>
    <mergeCell ref="G150:H150"/>
    <mergeCell ref="C155:H155"/>
    <mergeCell ref="E130:F130"/>
    <mergeCell ref="G130:H130"/>
    <mergeCell ref="C135:H135"/>
    <mergeCell ref="E138:G138"/>
    <mergeCell ref="E140:F140"/>
    <mergeCell ref="G140:H140"/>
    <mergeCell ref="E108:G108"/>
    <mergeCell ref="E110:F110"/>
    <mergeCell ref="G110:H110"/>
    <mergeCell ref="C115:H115"/>
    <mergeCell ref="E118:G118"/>
    <mergeCell ref="E120:F120"/>
    <mergeCell ref="G120:H120"/>
    <mergeCell ref="C145:H145"/>
    <mergeCell ref="C125:H125"/>
    <mergeCell ref="E128:G128"/>
    <mergeCell ref="C105:H105"/>
    <mergeCell ref="E90:F90"/>
    <mergeCell ref="G90:H90"/>
    <mergeCell ref="C95:H95"/>
    <mergeCell ref="E98:G98"/>
    <mergeCell ref="E100:F100"/>
    <mergeCell ref="G100:H100"/>
    <mergeCell ref="E88:G88"/>
    <mergeCell ref="E28:F28"/>
    <mergeCell ref="G28:H28"/>
    <mergeCell ref="C33:H33"/>
    <mergeCell ref="E36:G36"/>
    <mergeCell ref="E38:F38"/>
    <mergeCell ref="G38:H38"/>
    <mergeCell ref="C75:H75"/>
    <mergeCell ref="E78:G78"/>
    <mergeCell ref="E80:F80"/>
    <mergeCell ref="G80:H80"/>
    <mergeCell ref="C85:H85"/>
    <mergeCell ref="E70:F70"/>
    <mergeCell ref="G70:H70"/>
    <mergeCell ref="E60:F60"/>
    <mergeCell ref="G60:H60"/>
    <mergeCell ref="E6:G6"/>
    <mergeCell ref="E8:F8"/>
    <mergeCell ref="G8:H8"/>
    <mergeCell ref="E26:G26"/>
    <mergeCell ref="C43:H43"/>
    <mergeCell ref="C13:H13"/>
    <mergeCell ref="E16:G16"/>
    <mergeCell ref="E18:F18"/>
    <mergeCell ref="G18:H18"/>
    <mergeCell ref="C23:H23"/>
    <mergeCell ref="E68:G68"/>
    <mergeCell ref="C53:H53"/>
    <mergeCell ref="E58:G58"/>
    <mergeCell ref="E46:G46"/>
    <mergeCell ref="E48:F48"/>
    <mergeCell ref="G48:H48"/>
    <mergeCell ref="C65:H65"/>
  </mergeCells>
  <conditionalFormatting sqref="H6">
    <cfRule type="expression" dxfId="108" priority="201">
      <formula>$A$2="PRINT"</formula>
    </cfRule>
  </conditionalFormatting>
  <conditionalFormatting sqref="C10">
    <cfRule type="expression" dxfId="107" priority="200">
      <formula>$A$2="PRINT"</formula>
    </cfRule>
  </conditionalFormatting>
  <conditionalFormatting sqref="D10">
    <cfRule type="expression" dxfId="106" priority="199">
      <formula>$A$2="PRINT"</formula>
    </cfRule>
  </conditionalFormatting>
  <conditionalFormatting sqref="E10">
    <cfRule type="expression" dxfId="105" priority="198">
      <formula>$A$2="PRINT"</formula>
    </cfRule>
  </conditionalFormatting>
  <conditionalFormatting sqref="F10">
    <cfRule type="expression" dxfId="104" priority="197">
      <formula>$A$2="PRINT"</formula>
    </cfRule>
  </conditionalFormatting>
  <conditionalFormatting sqref="G10">
    <cfRule type="expression" dxfId="103" priority="196">
      <formula>$A$2="PRINT"</formula>
    </cfRule>
  </conditionalFormatting>
  <conditionalFormatting sqref="H10">
    <cfRule type="expression" dxfId="102" priority="195">
      <formula>$A$2="PRINT"</formula>
    </cfRule>
  </conditionalFormatting>
  <conditionalFormatting sqref="D11">
    <cfRule type="expression" dxfId="101" priority="194">
      <formula>$A$2="PRINT"</formula>
    </cfRule>
  </conditionalFormatting>
  <conditionalFormatting sqref="F11">
    <cfRule type="expression" dxfId="100" priority="193">
      <formula>$F11&gt;$F$10</formula>
    </cfRule>
  </conditionalFormatting>
  <conditionalFormatting sqref="F11">
    <cfRule type="expression" dxfId="99" priority="192">
      <formula>$A$2="PRINT"</formula>
    </cfRule>
  </conditionalFormatting>
  <conditionalFormatting sqref="G11">
    <cfRule type="expression" dxfId="98" priority="191">
      <formula>AND($C11="no",$H11&lt;&gt;$H$10)</formula>
    </cfRule>
  </conditionalFormatting>
  <conditionalFormatting sqref="H11">
    <cfRule type="expression" dxfId="97" priority="190">
      <formula>AND($H11&lt;$H$10,$H6&lt;&gt;"Select")</formula>
    </cfRule>
  </conditionalFormatting>
  <conditionalFormatting sqref="H21">
    <cfRule type="expression" dxfId="96" priority="175">
      <formula>$A$2="PRINT"</formula>
    </cfRule>
  </conditionalFormatting>
  <conditionalFormatting sqref="H16">
    <cfRule type="expression" dxfId="95" priority="187">
      <formula>$A$2="PRINT"</formula>
    </cfRule>
  </conditionalFormatting>
  <conditionalFormatting sqref="C20">
    <cfRule type="expression" dxfId="94" priority="186">
      <formula>$A$2="PRINT"</formula>
    </cfRule>
  </conditionalFormatting>
  <conditionalFormatting sqref="D20">
    <cfRule type="expression" dxfId="93" priority="185">
      <formula>$A$2="PRINT"</formula>
    </cfRule>
  </conditionalFormatting>
  <conditionalFormatting sqref="E20">
    <cfRule type="expression" dxfId="92" priority="184">
      <formula>$A$2="PRINT"</formula>
    </cfRule>
  </conditionalFormatting>
  <conditionalFormatting sqref="F20">
    <cfRule type="expression" dxfId="91" priority="183">
      <formula>$A$2="PRINT"</formula>
    </cfRule>
  </conditionalFormatting>
  <conditionalFormatting sqref="G20">
    <cfRule type="expression" dxfId="90" priority="182">
      <formula>$A$2="PRINT"</formula>
    </cfRule>
  </conditionalFormatting>
  <conditionalFormatting sqref="H20">
    <cfRule type="expression" dxfId="89" priority="181">
      <formula>$A$2="PRINT"</formula>
    </cfRule>
  </conditionalFormatting>
  <conditionalFormatting sqref="D21">
    <cfRule type="expression" dxfId="88" priority="180">
      <formula>$A$2="PRINT"</formula>
    </cfRule>
  </conditionalFormatting>
  <conditionalFormatting sqref="F21">
    <cfRule type="expression" dxfId="87" priority="179">
      <formula>$F21&gt;$F$10</formula>
    </cfRule>
  </conditionalFormatting>
  <conditionalFormatting sqref="F21">
    <cfRule type="expression" dxfId="86" priority="178">
      <formula>$A$2="PRINT"</formula>
    </cfRule>
  </conditionalFormatting>
  <conditionalFormatting sqref="G21">
    <cfRule type="expression" dxfId="85" priority="177">
      <formula>AND($C21="no",$H21&lt;&gt;$H$10)</formula>
    </cfRule>
  </conditionalFormatting>
  <conditionalFormatting sqref="H21">
    <cfRule type="expression" dxfId="84" priority="176">
      <formula>AND($H21&lt;$H$10,$H16&lt;&gt;"Select")</formula>
    </cfRule>
  </conditionalFormatting>
  <conditionalFormatting sqref="H31">
    <cfRule type="expression" dxfId="83" priority="161">
      <formula>$A$2="PRINT"</formula>
    </cfRule>
  </conditionalFormatting>
  <conditionalFormatting sqref="H26">
    <cfRule type="expression" dxfId="82" priority="173">
      <formula>$A$2="PRINT"</formula>
    </cfRule>
  </conditionalFormatting>
  <conditionalFormatting sqref="C30">
    <cfRule type="expression" dxfId="81" priority="172">
      <formula>$A$2="PRINT"</formula>
    </cfRule>
  </conditionalFormatting>
  <conditionalFormatting sqref="D30">
    <cfRule type="expression" dxfId="80" priority="171">
      <formula>$A$2="PRINT"</formula>
    </cfRule>
  </conditionalFormatting>
  <conditionalFormatting sqref="E30">
    <cfRule type="expression" dxfId="79" priority="170">
      <formula>$A$2="PRINT"</formula>
    </cfRule>
  </conditionalFormatting>
  <conditionalFormatting sqref="F30">
    <cfRule type="expression" dxfId="78" priority="169">
      <formula>$A$2="PRINT"</formula>
    </cfRule>
  </conditionalFormatting>
  <conditionalFormatting sqref="G30">
    <cfRule type="expression" dxfId="77" priority="168">
      <formula>$A$2="PRINT"</formula>
    </cfRule>
  </conditionalFormatting>
  <conditionalFormatting sqref="H30">
    <cfRule type="expression" dxfId="76" priority="167">
      <formula>$A$2="PRINT"</formula>
    </cfRule>
  </conditionalFormatting>
  <conditionalFormatting sqref="D31">
    <cfRule type="expression" dxfId="75" priority="166">
      <formula>$A$2="PRINT"</formula>
    </cfRule>
  </conditionalFormatting>
  <conditionalFormatting sqref="F31">
    <cfRule type="expression" dxfId="74" priority="165">
      <formula>$F31&gt;$F$10</formula>
    </cfRule>
  </conditionalFormatting>
  <conditionalFormatting sqref="F31">
    <cfRule type="expression" dxfId="73" priority="164">
      <formula>$A$2="PRINT"</formula>
    </cfRule>
  </conditionalFormatting>
  <conditionalFormatting sqref="G31">
    <cfRule type="expression" dxfId="72" priority="163">
      <formula>AND($C31="no",$H31&lt;&gt;$H$10)</formula>
    </cfRule>
  </conditionalFormatting>
  <conditionalFormatting sqref="H31">
    <cfRule type="expression" dxfId="71" priority="162">
      <formula>AND($H31&lt;$H$10,$H26&lt;&gt;"Select")</formula>
    </cfRule>
  </conditionalFormatting>
  <conditionalFormatting sqref="H41">
    <cfRule type="expression" dxfId="70" priority="147">
      <formula>$A$2="PRINT"</formula>
    </cfRule>
  </conditionalFormatting>
  <conditionalFormatting sqref="H36">
    <cfRule type="expression" dxfId="69" priority="159">
      <formula>$A$2="PRINT"</formula>
    </cfRule>
  </conditionalFormatting>
  <conditionalFormatting sqref="C40">
    <cfRule type="expression" dxfId="68" priority="158">
      <formula>$A$2="PRINT"</formula>
    </cfRule>
  </conditionalFormatting>
  <conditionalFormatting sqref="D40">
    <cfRule type="expression" dxfId="67" priority="157">
      <formula>$A$2="PRINT"</formula>
    </cfRule>
  </conditionalFormatting>
  <conditionalFormatting sqref="E40">
    <cfRule type="expression" dxfId="66" priority="156">
      <formula>$A$2="PRINT"</formula>
    </cfRule>
  </conditionalFormatting>
  <conditionalFormatting sqref="F40">
    <cfRule type="expression" dxfId="65" priority="155">
      <formula>$A$2="PRINT"</formula>
    </cfRule>
  </conditionalFormatting>
  <conditionalFormatting sqref="G40">
    <cfRule type="expression" dxfId="64" priority="154">
      <formula>$A$2="PRINT"</formula>
    </cfRule>
  </conditionalFormatting>
  <conditionalFormatting sqref="H40">
    <cfRule type="expression" dxfId="63" priority="153">
      <formula>$A$2="PRINT"</formula>
    </cfRule>
  </conditionalFormatting>
  <conditionalFormatting sqref="D41">
    <cfRule type="expression" dxfId="62" priority="152">
      <formula>$A$2="PRINT"</formula>
    </cfRule>
  </conditionalFormatting>
  <conditionalFormatting sqref="F41">
    <cfRule type="expression" dxfId="61" priority="151">
      <formula>$F41&gt;$F$10</formula>
    </cfRule>
  </conditionalFormatting>
  <conditionalFormatting sqref="F41">
    <cfRule type="expression" dxfId="60" priority="150">
      <formula>$A$2="PRINT"</formula>
    </cfRule>
  </conditionalFormatting>
  <conditionalFormatting sqref="G41">
    <cfRule type="expression" dxfId="59" priority="149">
      <formula>AND($C41="no",$H41&lt;&gt;$H$10)</formula>
    </cfRule>
  </conditionalFormatting>
  <conditionalFormatting sqref="H41">
    <cfRule type="expression" dxfId="58" priority="148">
      <formula>AND($H41&lt;$H$10,$H36&lt;&gt;"Select")</formula>
    </cfRule>
  </conditionalFormatting>
  <conditionalFormatting sqref="H51">
    <cfRule type="expression" dxfId="57" priority="133">
      <formula>$A$2="PRINT"</formula>
    </cfRule>
  </conditionalFormatting>
  <conditionalFormatting sqref="H46">
    <cfRule type="expression" dxfId="56" priority="145">
      <formula>$A$2="PRINT"</formula>
    </cfRule>
  </conditionalFormatting>
  <conditionalFormatting sqref="C50">
    <cfRule type="expression" dxfId="55" priority="144">
      <formula>$A$2="PRINT"</formula>
    </cfRule>
  </conditionalFormatting>
  <conditionalFormatting sqref="D50">
    <cfRule type="expression" dxfId="54" priority="143">
      <formula>$A$2="PRINT"</formula>
    </cfRule>
  </conditionalFormatting>
  <conditionalFormatting sqref="E50">
    <cfRule type="expression" dxfId="53" priority="142">
      <formula>$A$2="PRINT"</formula>
    </cfRule>
  </conditionalFormatting>
  <conditionalFormatting sqref="F50">
    <cfRule type="expression" dxfId="52" priority="141">
      <formula>$A$2="PRINT"</formula>
    </cfRule>
  </conditionalFormatting>
  <conditionalFormatting sqref="G50">
    <cfRule type="expression" dxfId="51" priority="140">
      <formula>$A$2="PRINT"</formula>
    </cfRule>
  </conditionalFormatting>
  <conditionalFormatting sqref="H50">
    <cfRule type="expression" dxfId="50" priority="139">
      <formula>$A$2="PRINT"</formula>
    </cfRule>
  </conditionalFormatting>
  <conditionalFormatting sqref="D51">
    <cfRule type="expression" dxfId="49" priority="138">
      <formula>$A$2="PRINT"</formula>
    </cfRule>
  </conditionalFormatting>
  <conditionalFormatting sqref="F51">
    <cfRule type="expression" dxfId="48" priority="137">
      <formula>$F51&gt;$F$10</formula>
    </cfRule>
  </conditionalFormatting>
  <conditionalFormatting sqref="F51">
    <cfRule type="expression" dxfId="47" priority="136">
      <formula>$A$2="PRINT"</formula>
    </cfRule>
  </conditionalFormatting>
  <conditionalFormatting sqref="G51">
    <cfRule type="expression" dxfId="46" priority="135">
      <formula>AND($C51="no",$H51&lt;&gt;$H$10)</formula>
    </cfRule>
  </conditionalFormatting>
  <conditionalFormatting sqref="H51">
    <cfRule type="expression" dxfId="45" priority="134">
      <formula>AND($H51&lt;$H$10,$H46&lt;&gt;"Select")</formula>
    </cfRule>
  </conditionalFormatting>
  <conditionalFormatting sqref="F63">
    <cfRule type="expression" dxfId="44" priority="124">
      <formula>$F63&gt;$F$10</formula>
    </cfRule>
  </conditionalFormatting>
  <conditionalFormatting sqref="G63">
    <cfRule type="expression" dxfId="43" priority="122">
      <formula>AND($C63="no",$H63&lt;&gt;$H$10)</formula>
    </cfRule>
  </conditionalFormatting>
  <conditionalFormatting sqref="H63">
    <cfRule type="expression" dxfId="42" priority="121">
      <formula>AND($H63&lt;$H$10,$H58&lt;&gt;"Select")</formula>
    </cfRule>
  </conditionalFormatting>
  <conditionalFormatting sqref="F73">
    <cfRule type="expression" dxfId="41" priority="111">
      <formula>$F73&gt;$F$10</formula>
    </cfRule>
  </conditionalFormatting>
  <conditionalFormatting sqref="G73">
    <cfRule type="expression" dxfId="40" priority="109">
      <formula>AND($C73="no",$H73&lt;&gt;$H$10)</formula>
    </cfRule>
  </conditionalFormatting>
  <conditionalFormatting sqref="H73">
    <cfRule type="expression" dxfId="39" priority="108">
      <formula>AND($H73&lt;$H$10,$H68&lt;&gt;"Select")</formula>
    </cfRule>
  </conditionalFormatting>
  <conditionalFormatting sqref="F83">
    <cfRule type="expression" dxfId="38" priority="98">
      <formula>$F83&gt;$F$10</formula>
    </cfRule>
  </conditionalFormatting>
  <conditionalFormatting sqref="G83">
    <cfRule type="expression" dxfId="37" priority="96">
      <formula>AND($C83="no",$H83&lt;&gt;$H$10)</formula>
    </cfRule>
  </conditionalFormatting>
  <conditionalFormatting sqref="H83">
    <cfRule type="expression" dxfId="36" priority="95">
      <formula>AND($H83&lt;$H$10,$H78&lt;&gt;"Select")</formula>
    </cfRule>
  </conditionalFormatting>
  <conditionalFormatting sqref="F93">
    <cfRule type="expression" dxfId="35" priority="85">
      <formula>$F93&gt;$F$10</formula>
    </cfRule>
  </conditionalFormatting>
  <conditionalFormatting sqref="G93">
    <cfRule type="expression" dxfId="34" priority="83">
      <formula>AND($C93="no",$H93&lt;&gt;$H$10)</formula>
    </cfRule>
  </conditionalFormatting>
  <conditionalFormatting sqref="H93">
    <cfRule type="expression" dxfId="33" priority="82">
      <formula>AND($H93&lt;$H$10,$H88&lt;&gt;"Select")</formula>
    </cfRule>
  </conditionalFormatting>
  <conditionalFormatting sqref="F103">
    <cfRule type="expression" dxfId="32" priority="72">
      <formula>$F103&gt;$F$10</formula>
    </cfRule>
  </conditionalFormatting>
  <conditionalFormatting sqref="G103">
    <cfRule type="expression" dxfId="31" priority="70">
      <formula>AND($C103="no",$H103&lt;&gt;$H$10)</formula>
    </cfRule>
  </conditionalFormatting>
  <conditionalFormatting sqref="H103">
    <cfRule type="expression" dxfId="30" priority="69">
      <formula>AND($H103&lt;$H$10,$H98&lt;&gt;"Select")</formula>
    </cfRule>
  </conditionalFormatting>
  <conditionalFormatting sqref="F113">
    <cfRule type="expression" dxfId="29" priority="58">
      <formula>$F113&gt;$F$10</formula>
    </cfRule>
  </conditionalFormatting>
  <conditionalFormatting sqref="G113">
    <cfRule type="expression" dxfId="28" priority="56">
      <formula>AND($C113="no",$H113&lt;&gt;$H$10)</formula>
    </cfRule>
  </conditionalFormatting>
  <conditionalFormatting sqref="H113">
    <cfRule type="expression" dxfId="27" priority="55">
      <formula>AND($H113&lt;$H$10,$H108&lt;&gt;"Select")</formula>
    </cfRule>
  </conditionalFormatting>
  <conditionalFormatting sqref="F123">
    <cfRule type="expression" dxfId="26" priority="45">
      <formula>$F123&gt;$F$10</formula>
    </cfRule>
  </conditionalFormatting>
  <conditionalFormatting sqref="G123">
    <cfRule type="expression" dxfId="25" priority="43">
      <formula>AND($C123="no",$H123&lt;&gt;$H$10)</formula>
    </cfRule>
  </conditionalFormatting>
  <conditionalFormatting sqref="H123">
    <cfRule type="expression" dxfId="24" priority="42">
      <formula>AND($H123&lt;$H$10,$H118&lt;&gt;"Select")</formula>
    </cfRule>
  </conditionalFormatting>
  <conditionalFormatting sqref="F133">
    <cfRule type="expression" dxfId="23" priority="32">
      <formula>$F133&gt;$F$10</formula>
    </cfRule>
  </conditionalFormatting>
  <conditionalFormatting sqref="G133">
    <cfRule type="expression" dxfId="22" priority="30">
      <formula>AND($C133="no",$H133&lt;&gt;$H$10)</formula>
    </cfRule>
  </conditionalFormatting>
  <conditionalFormatting sqref="H133">
    <cfRule type="expression" dxfId="21" priority="29">
      <formula>AND($H133&lt;$H$10,$H128&lt;&gt;"Select")</formula>
    </cfRule>
  </conditionalFormatting>
  <conditionalFormatting sqref="F143">
    <cfRule type="expression" dxfId="20" priority="19">
      <formula>$F143&gt;$F$10</formula>
    </cfRule>
  </conditionalFormatting>
  <conditionalFormatting sqref="G143">
    <cfRule type="expression" dxfId="19" priority="17">
      <formula>AND($C143="no",$H143&lt;&gt;$H$10)</formula>
    </cfRule>
  </conditionalFormatting>
  <conditionalFormatting sqref="H143">
    <cfRule type="expression" dxfId="18" priority="16">
      <formula>AND($H143&lt;$H$10,$H138&lt;&gt;"Select")</formula>
    </cfRule>
  </conditionalFormatting>
  <conditionalFormatting sqref="F153">
    <cfRule type="expression" dxfId="17" priority="6">
      <formula>$F153&gt;$F$10</formula>
    </cfRule>
  </conditionalFormatting>
  <conditionalFormatting sqref="G153">
    <cfRule type="expression" dxfId="16" priority="4">
      <formula>AND($C153="no",$H153&lt;&gt;$H$10)</formula>
    </cfRule>
  </conditionalFormatting>
  <conditionalFormatting sqref="H153">
    <cfRule type="expression" dxfId="15" priority="3">
      <formula>AND($H153&lt;$H$10,$H148&lt;&gt;"Select")</formula>
    </cfRule>
  </conditionalFormatting>
  <conditionalFormatting sqref="B6 H6 C10:H10 D11 F11 H11 B16 H16 C20:H20 D21 F21 H21 B26 H26 C30:H30 D31 F31 H31 B36 H36 C40:H40 D41 F41 H41 B46 H46 C50:H50 D51 F51 H51 B58 H58 C62:H62 D63 F63 H63 B68 H68 C72:H72 D73 F73 H73 B78 H78 C82:H82 D83 F83 H83 B88 H88 C92:H92 D93 F93 H93 B98 H98 C102:H102 D103 F103 H103 B108 H108 C112:H112 D113 F113 H113 B118 H118 C122:H122 D123 F123 H123 B128 H128 C132:H132 D133 F133 H133 B138 H138 C142:H142 D143 F143 H143 B148 H148 C152:H152 D153 F153 H153">
    <cfRule type="expression" dxfId="14" priority="1">
      <formula>$A$2="PRINT"</formula>
    </cfRule>
  </conditionalFormatting>
  <dataValidations count="1">
    <dataValidation type="list" allowBlank="1" showInputMessage="1" showErrorMessage="1" sqref="H6 H16 H26 H36 H46 H58 H68 H78 H88 H98 H108 H118 H128 H138 H148" xr:uid="{00000000-0002-0000-3C00-000000000000}">
      <formula1>"Select,yes,no"</formula1>
    </dataValidation>
  </dataValidations>
  <pageMargins left="0.70866141732283472" right="0.70866141732283472" top="0.74803149606299213" bottom="0.74803149606299213" header="0.31496062992125984" footer="0.31496062992125984"/>
  <pageSetup paperSize="9" scale="73" fitToHeight="0" orientation="portrait" r:id="rId1"/>
  <headerFooter>
    <oddFooter>&amp;C&amp;P</oddFooter>
  </headerFooter>
  <drawing r:id="rId2"/>
  <picture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100">
    <tabColor theme="2" tint="-0.249977111117893"/>
    <pageSetUpPr fitToPage="1"/>
  </sheetPr>
  <dimension ref="A1:AK96"/>
  <sheetViews>
    <sheetView showGridLines="0" topLeftCell="A52" zoomScaleNormal="100" workbookViewId="0">
      <selection activeCell="L56" sqref="L56"/>
    </sheetView>
  </sheetViews>
  <sheetFormatPr defaultColWidth="9.140625" defaultRowHeight="15"/>
  <cols>
    <col min="1" max="1" width="9.140625" style="16"/>
    <col min="2" max="2" width="22.140625" style="16" customWidth="1"/>
    <col min="3" max="3" width="13.42578125" style="16" customWidth="1"/>
    <col min="4" max="4" width="14.140625" style="16" bestFit="1" customWidth="1"/>
    <col min="5" max="5" width="7.85546875" style="16" customWidth="1"/>
    <col min="6" max="10" width="16.85546875" style="16" customWidth="1"/>
    <col min="11" max="11" width="1.7109375" style="16" customWidth="1"/>
    <col min="12" max="12" width="35.28515625" style="16" customWidth="1"/>
    <col min="13" max="14" width="9.140625" style="16"/>
    <col min="15" max="16" width="13.7109375" style="16" bestFit="1" customWidth="1"/>
    <col min="17" max="19" width="13.85546875" style="16" bestFit="1" customWidth="1"/>
    <col min="20" max="21" width="10" style="16" bestFit="1" customWidth="1"/>
    <col min="22" max="22" width="11.7109375" style="16" bestFit="1" customWidth="1"/>
    <col min="23" max="23" width="12.28515625" style="16" bestFit="1" customWidth="1"/>
    <col min="24" max="24" width="9.140625" style="16" customWidth="1"/>
    <col min="25" max="27" width="9.140625" style="16"/>
    <col min="28" max="28" width="22.28515625" style="16" customWidth="1"/>
    <col min="29" max="16384" width="9.140625" style="16"/>
  </cols>
  <sheetData>
    <row r="1" spans="1:14">
      <c r="A1" s="8"/>
      <c r="B1" s="38"/>
      <c r="C1" s="38"/>
      <c r="F1" s="38"/>
      <c r="G1" s="38"/>
      <c r="H1" s="38"/>
    </row>
    <row r="2" spans="1:14" ht="18.75">
      <c r="A2" s="104"/>
      <c r="B2" s="636" t="s">
        <v>909</v>
      </c>
      <c r="C2" s="636"/>
      <c r="D2" s="636"/>
    </row>
    <row r="3" spans="1:14">
      <c r="E3" s="38"/>
      <c r="G3" s="38"/>
      <c r="H3" s="38"/>
    </row>
    <row r="4" spans="1:14" ht="18" thickBot="1">
      <c r="B4" s="32" t="s">
        <v>398</v>
      </c>
      <c r="C4" s="32"/>
      <c r="D4" s="32"/>
      <c r="E4" s="32"/>
      <c r="F4" s="32"/>
      <c r="G4" s="32"/>
      <c r="H4" s="32"/>
      <c r="I4" s="32"/>
      <c r="J4" s="32"/>
    </row>
    <row r="5" spans="1:14">
      <c r="B5" s="212"/>
      <c r="C5" s="212"/>
      <c r="D5" s="212"/>
      <c r="E5" s="293"/>
      <c r="F5" s="212"/>
      <c r="G5" s="293"/>
      <c r="H5" s="293"/>
      <c r="I5" s="212"/>
      <c r="J5" s="212"/>
    </row>
    <row r="6" spans="1:14" ht="18" customHeight="1">
      <c r="B6" s="59" t="s">
        <v>399</v>
      </c>
      <c r="C6" s="49"/>
      <c r="D6" s="49"/>
      <c r="E6" s="49"/>
      <c r="F6" s="49"/>
      <c r="G6" s="49"/>
      <c r="H6" s="49"/>
      <c r="I6" s="49"/>
      <c r="J6" s="49"/>
    </row>
    <row r="7" spans="1:14">
      <c r="E7" s="207"/>
      <c r="F7"/>
      <c r="G7"/>
      <c r="H7"/>
      <c r="I7"/>
      <c r="J7"/>
    </row>
    <row r="8" spans="1:14" ht="30" customHeight="1">
      <c r="B8" s="91" t="s">
        <v>303</v>
      </c>
      <c r="D8" s="294" t="s">
        <v>341</v>
      </c>
      <c r="E8" s="1087" t="s">
        <v>22</v>
      </c>
      <c r="F8" s="1088"/>
      <c r="G8" s="182"/>
      <c r="H8"/>
      <c r="I8"/>
      <c r="J8"/>
    </row>
    <row r="9" spans="1:14">
      <c r="B9" s="1093" t="s">
        <v>360</v>
      </c>
      <c r="C9" s="1094"/>
      <c r="D9" s="156" t="s">
        <v>1800</v>
      </c>
      <c r="E9" s="1089">
        <v>0.02</v>
      </c>
      <c r="F9" s="1090"/>
      <c r="H9"/>
      <c r="I9"/>
      <c r="J9"/>
      <c r="M9" s="467" t="str">
        <f>IF(CONCATENATE('Graphics data'!D24,'Graphics data'!E24,'Graphics data'!F24,'Graphics data'!G24,'Graphics data'!H24)&lt;&gt;"","The dead band range cannot be wider than the range defined by ± the value of the alert threshold.","")</f>
        <v/>
      </c>
    </row>
    <row r="10" spans="1:14">
      <c r="B10" s="1093" t="s">
        <v>969</v>
      </c>
      <c r="C10" s="631"/>
      <c r="D10" s="295" t="s">
        <v>343</v>
      </c>
      <c r="E10" s="1091">
        <v>0.01</v>
      </c>
      <c r="F10" s="1092"/>
      <c r="H10"/>
      <c r="I10"/>
      <c r="J10"/>
      <c r="K10" s="55"/>
      <c r="M10" s="466" t="str">
        <f>IF($E$10&gt;0.02=TRUE,"The maximum bonus cannot be higher than 2% of the determined costs.","")</f>
        <v/>
      </c>
    </row>
    <row r="11" spans="1:14">
      <c r="B11" s="1093" t="s">
        <v>970</v>
      </c>
      <c r="C11" s="631"/>
      <c r="D11" s="295" t="s">
        <v>343</v>
      </c>
      <c r="E11" s="1091">
        <v>0.01</v>
      </c>
      <c r="F11" s="1092"/>
      <c r="H11"/>
      <c r="I11"/>
      <c r="J11"/>
      <c r="M11" s="466" t="str">
        <f>IF($E$11&lt;$E$10=TRUE,"The maximum penalty cannot be lower than the maximum bonus.","")</f>
        <v/>
      </c>
      <c r="N11" s="44"/>
    </row>
    <row r="12" spans="1:14">
      <c r="B12" s="654" t="s">
        <v>338</v>
      </c>
      <c r="C12" s="655"/>
      <c r="D12" s="156" t="s">
        <v>396</v>
      </c>
      <c r="E12" s="1095"/>
      <c r="F12" s="1096"/>
      <c r="G12" s="182"/>
      <c r="H12"/>
      <c r="I12"/>
      <c r="J12"/>
    </row>
    <row r="13" spans="1:14">
      <c r="B13" s="208"/>
      <c r="C13" s="208"/>
      <c r="D13" s="208"/>
      <c r="E13" s="208"/>
      <c r="F13" s="208"/>
      <c r="G13" s="38"/>
      <c r="H13" s="38"/>
    </row>
    <row r="14" spans="1:14" ht="15.75" hidden="1">
      <c r="A14"/>
      <c r="B14" s="59"/>
      <c r="C14" s="59"/>
      <c r="D14" s="59"/>
      <c r="E14" s="59"/>
      <c r="F14" s="59"/>
      <c r="G14"/>
      <c r="H14" s="59"/>
      <c r="I14" s="59"/>
      <c r="J14" s="59"/>
    </row>
    <row r="15" spans="1:14" hidden="1">
      <c r="A15"/>
      <c r="F15"/>
      <c r="G15"/>
      <c r="H15"/>
      <c r="J15" s="43"/>
    </row>
    <row r="16" spans="1:14" ht="15.75">
      <c r="A16"/>
      <c r="B16" s="1082" t="str">
        <f>'1.1 The situation'!$B$13</f>
        <v>DCAC Cyprus</v>
      </c>
      <c r="C16" s="1083"/>
      <c r="D16" s="215"/>
      <c r="J16" s="43"/>
    </row>
    <row r="17" spans="1:12">
      <c r="A17"/>
      <c r="B17" s="208"/>
      <c r="C17" s="208"/>
      <c r="F17" s="44"/>
      <c r="J17" s="296"/>
    </row>
    <row r="18" spans="1:12" ht="24.75" customHeight="1">
      <c r="A18"/>
      <c r="F18" s="198">
        <v>2020</v>
      </c>
      <c r="G18" s="198">
        <v>2021</v>
      </c>
      <c r="H18" s="541">
        <v>2022</v>
      </c>
      <c r="I18" s="541">
        <v>2023</v>
      </c>
      <c r="J18" s="541">
        <v>2024</v>
      </c>
      <c r="K18" s="215"/>
    </row>
    <row r="19" spans="1:12">
      <c r="A19"/>
      <c r="B19" s="1084" t="s">
        <v>1414</v>
      </c>
      <c r="C19" s="1085"/>
      <c r="D19" s="1085"/>
      <c r="E19" s="1085"/>
      <c r="F19" s="257"/>
      <c r="G19" s="257"/>
      <c r="H19" s="298">
        <f>IF(INDEX(Table_ER_Delay[2022RV],MATCH(Signatories!$C$5,Table_ER_Delay[[COUNTRY_FAB_Name]:[COUNTRY_FAB_Name]],0))="","-",INDEX(Table_ER_Delay[2022RV],MATCH(Signatories!$C$5,Table_ER_Delay[[COUNTRY_FAB_Name]:[COUNTRY_FAB_Name]],0)))</f>
        <v>0.16</v>
      </c>
      <c r="I19" s="298">
        <f>IF(INDEX(Table_ER_Delay[2023RV],MATCH(Signatories!$C$5,Table_ER_Delay[[COUNTRY_FAB_Name]:[COUNTRY_FAB_Name]],0))="","-",INDEX(Table_ER_Delay[2023RV],MATCH(Signatories!$C$5,Table_ER_Delay[[COUNTRY_FAB_Name]:[COUNTRY_FAB_Name]],0)))</f>
        <v>0.15</v>
      </c>
      <c r="J19" s="298">
        <f>IF(INDEX(Table_ER_Delay[2024RV],MATCH(Signatories!$C$5,Table_ER_Delay[[COUNTRY_FAB_Name]:[COUNTRY_FAB_Name]],0))="","-",INDEX(Table_ER_Delay[2024RV],MATCH(Signatories!$C$5,Table_ER_Delay[[COUNTRY_FAB_Name]:[COUNTRY_FAB_Name]],0)))</f>
        <v>0.15</v>
      </c>
      <c r="K19" s="297"/>
    </row>
    <row r="20" spans="1:12">
      <c r="A20"/>
      <c r="B20" s="810" t="s">
        <v>1479</v>
      </c>
      <c r="C20" s="1081"/>
      <c r="D20" s="1081"/>
      <c r="E20" s="811"/>
      <c r="F20" s="257"/>
      <c r="G20" s="257"/>
      <c r="H20" s="395">
        <f t="shared" ref="H20:J20" si="0">IFERROR(IF(H19&lt;0.2,0.05,0.04+0.05*H19),0.05)</f>
        <v>0.05</v>
      </c>
      <c r="I20" s="395">
        <f t="shared" si="0"/>
        <v>0.05</v>
      </c>
      <c r="J20" s="395">
        <f t="shared" si="0"/>
        <v>0.05</v>
      </c>
      <c r="K20" s="297"/>
    </row>
    <row r="21" spans="1:12" ht="18.75" customHeight="1">
      <c r="A21"/>
      <c r="B21" s="654" t="s">
        <v>401</v>
      </c>
      <c r="C21" s="655"/>
      <c r="D21" s="655"/>
      <c r="E21" s="655"/>
      <c r="F21" s="257"/>
      <c r="G21" s="257"/>
      <c r="H21" s="533">
        <f>+'3.3.1 En route'!G$13</f>
        <v>0.16</v>
      </c>
      <c r="I21" s="533">
        <f>+'3.3.1 En route'!H$13</f>
        <v>0.15</v>
      </c>
      <c r="J21" s="533">
        <f>+'3.3.1 En route'!I$13</f>
        <v>0.15</v>
      </c>
      <c r="K21" s="297"/>
      <c r="L21" s="489"/>
    </row>
    <row r="22" spans="1:12" ht="19.5" customHeight="1">
      <c r="A22"/>
      <c r="B22" s="654" t="str">
        <f>IF($D12="modulated","Pivot values for RP3 (mins of ATFM delay per flight)*","Pivot values for RP3 (mins of ATFM delay per flight)")</f>
        <v>Pivot values for RP3 (mins of ATFM delay per flight)</v>
      </c>
      <c r="C22" s="655"/>
      <c r="D22" s="655"/>
      <c r="E22" s="655"/>
      <c r="F22" s="257"/>
      <c r="G22" s="257"/>
      <c r="H22" s="533">
        <f>+'3.3.1 En route'!G$13</f>
        <v>0.16</v>
      </c>
      <c r="I22" s="533">
        <f>+'3.3.1 En route'!H$13</f>
        <v>0.15</v>
      </c>
      <c r="J22" s="533">
        <f>+'3.3.1 En route'!I$13</f>
        <v>0.15</v>
      </c>
      <c r="K22" s="490"/>
      <c r="L22" s="489"/>
    </row>
    <row r="23" spans="1:12">
      <c r="A23"/>
      <c r="B23" s="1099" t="s">
        <v>345</v>
      </c>
      <c r="C23" s="1099"/>
      <c r="D23" s="1086" t="s">
        <v>359</v>
      </c>
      <c r="E23" s="1086"/>
      <c r="F23" s="257"/>
      <c r="G23" s="257"/>
      <c r="H23" s="304" t="str">
        <f>IFERROR("["&amp; IF('Graphics data'!F$20&lt;0,0,ROUND('Graphics data'!F$20,3)) &amp; "-"&amp; ROUND('Graphics data'!F$21,3)&amp;"]","-")</f>
        <v>[0.14-0.18]</v>
      </c>
      <c r="I23" s="304" t="str">
        <f>IFERROR("["&amp; IF('Graphics data'!G$20&lt;0,0,ROUND('Graphics data'!G$20,3)) &amp; "-"&amp; ROUND('Graphics data'!G$21,3)&amp;"]","-")</f>
        <v>[0.13-0.17]</v>
      </c>
      <c r="J23" s="340" t="str">
        <f>IFERROR("["&amp; IF('Graphics data'!H$20&lt;0,0,ROUND('Graphics data'!H$20,3)) &amp; "-"&amp; ROUND('Graphics data'!H$21,3)&amp;"]","-")</f>
        <v>[0.13-0.17]</v>
      </c>
      <c r="K23" s="215"/>
    </row>
    <row r="24" spans="1:12">
      <c r="A24"/>
      <c r="B24" s="1099"/>
      <c r="C24" s="1099"/>
      <c r="D24" s="1086" t="s">
        <v>1628</v>
      </c>
      <c r="E24" s="1086"/>
      <c r="F24" s="257"/>
      <c r="G24" s="257"/>
      <c r="H24" s="304" t="str">
        <f>IFERROR(IF('Graphics data'!F$20&lt;=0,"n/a","["&amp; IF('Graphics data'!F$22&lt;0,0,ROUND('Graphics data'!F$22,3)) &amp; "-"&amp; ROUND('Graphics data'!F$20,3)&amp;"]"),"-")</f>
        <v>[0.11-0.14]</v>
      </c>
      <c r="I24" s="304" t="str">
        <f>IFERROR(IF('Graphics data'!G$20&lt;=0,"n/a","["&amp; IF('Graphics data'!G$22&lt;0,0,ROUND('Graphics data'!G$22,3)) &amp; "-"&amp; ROUND('Graphics data'!G$20,3)&amp;"]"),"-")</f>
        <v>[0.1-0.13]</v>
      </c>
      <c r="J24" s="340" t="str">
        <f>IFERROR(IF('Graphics data'!H$20&lt;=0,"n/a","["&amp; IF('Graphics data'!H$22&lt;0,0,ROUND('Graphics data'!H$22,3)) &amp; "-"&amp; ROUND('Graphics data'!H$20,3)&amp;"]"),"-")</f>
        <v>[0.1-0.13]</v>
      </c>
      <c r="K24" s="215"/>
    </row>
    <row r="25" spans="1:12">
      <c r="A25"/>
      <c r="B25" s="1100"/>
      <c r="C25" s="1100"/>
      <c r="D25" s="1101" t="s">
        <v>1629</v>
      </c>
      <c r="E25" s="1101"/>
      <c r="F25" s="257"/>
      <c r="G25" s="257"/>
      <c r="H25" s="341" t="str">
        <f>IFERROR("["&amp; ROUND('Graphics data'!F$21,3) &amp; "-"&amp; ROUND('Graphics data'!F$23,3)&amp;"]","-")</f>
        <v>[0.18-0.21]</v>
      </c>
      <c r="I25" s="341" t="str">
        <f>IFERROR("["&amp; ROUND('Graphics data'!G$21,3) &amp; "-"&amp; ROUND('Graphics data'!G$23,3)&amp;"]","-")</f>
        <v>[0.17-0.2]</v>
      </c>
      <c r="J25" s="342" t="str">
        <f>IFERROR("["&amp; ROUND('Graphics data'!H$21,3) &amp; "-"&amp; ROUND('Graphics data'!H$23,3)&amp;"]","-")</f>
        <v>[0.17-0.2]</v>
      </c>
      <c r="K25" s="215"/>
    </row>
    <row r="26" spans="1:12" ht="30" customHeight="1">
      <c r="A26"/>
      <c r="B26" s="842" t="str">
        <f>IF($D12="modulated","* When modulation applies, these figures are only indicative as they will be updated annually on the basis of the November n-1 NOP and the methodology described in 5.2.1.2.a2 below."&amp;" The pivot values for year n have to be notified to the EC by 1 January n.","")</f>
        <v/>
      </c>
      <c r="C26" s="842"/>
      <c r="D26" s="842"/>
      <c r="E26" s="842"/>
      <c r="F26" s="842"/>
      <c r="G26" s="842"/>
      <c r="H26" s="842"/>
      <c r="I26" s="842"/>
      <c r="J26" s="842"/>
    </row>
    <row r="27" spans="1:12">
      <c r="A27"/>
    </row>
    <row r="28" spans="1:12">
      <c r="A28"/>
      <c r="B28" s="53"/>
      <c r="C28" s="53"/>
      <c r="D28" s="53"/>
      <c r="E28" s="53"/>
      <c r="F28" s="57"/>
      <c r="G28" s="53"/>
      <c r="H28" s="53"/>
      <c r="I28" s="53"/>
      <c r="J28" s="43"/>
    </row>
    <row r="29" spans="1:12">
      <c r="A29"/>
      <c r="B29"/>
      <c r="C29"/>
      <c r="D29"/>
      <c r="E29"/>
      <c r="F29"/>
      <c r="G29"/>
      <c r="H29"/>
      <c r="I29"/>
      <c r="J29"/>
    </row>
    <row r="30" spans="1:12">
      <c r="A30"/>
      <c r="B30"/>
      <c r="C30"/>
      <c r="D30"/>
      <c r="E30"/>
      <c r="F30"/>
      <c r="G30"/>
      <c r="H30"/>
      <c r="I30"/>
      <c r="J30"/>
    </row>
    <row r="31" spans="1:12">
      <c r="A31"/>
      <c r="B31"/>
      <c r="C31"/>
      <c r="D31"/>
      <c r="E31"/>
      <c r="F31"/>
      <c r="G31"/>
      <c r="H31"/>
      <c r="I31"/>
      <c r="J31"/>
    </row>
    <row r="32" spans="1:12">
      <c r="A32"/>
      <c r="B32"/>
      <c r="C32"/>
      <c r="D32"/>
      <c r="E32"/>
      <c r="F32"/>
      <c r="G32"/>
      <c r="H32"/>
      <c r="I32"/>
      <c r="J32"/>
    </row>
    <row r="33" spans="1:11">
      <c r="A33"/>
      <c r="B33"/>
      <c r="C33"/>
      <c r="D33"/>
      <c r="E33"/>
      <c r="F33"/>
      <c r="G33"/>
      <c r="H33"/>
      <c r="I33"/>
      <c r="J33"/>
    </row>
    <row r="34" spans="1:11" ht="19.5" customHeight="1">
      <c r="A34"/>
      <c r="B34"/>
      <c r="C34"/>
      <c r="D34"/>
      <c r="E34"/>
      <c r="F34"/>
      <c r="G34"/>
      <c r="H34"/>
      <c r="I34"/>
      <c r="J34"/>
    </row>
    <row r="35" spans="1:11" ht="19.149999999999999" customHeight="1">
      <c r="A35"/>
      <c r="B35"/>
      <c r="C35"/>
      <c r="D35"/>
      <c r="E35"/>
      <c r="F35"/>
      <c r="G35"/>
      <c r="H35"/>
      <c r="I35"/>
      <c r="J35"/>
    </row>
    <row r="36" spans="1:11" ht="32.25" customHeight="1">
      <c r="A36"/>
      <c r="B36"/>
      <c r="C36"/>
      <c r="D36"/>
      <c r="E36"/>
      <c r="F36"/>
      <c r="G36"/>
      <c r="H36"/>
      <c r="I36"/>
      <c r="J36"/>
    </row>
    <row r="37" spans="1:11" ht="15" customHeight="1">
      <c r="A37"/>
      <c r="B37"/>
      <c r="C37"/>
      <c r="D37"/>
      <c r="E37"/>
      <c r="F37"/>
      <c r="G37"/>
      <c r="H37"/>
      <c r="I37"/>
      <c r="J37"/>
    </row>
    <row r="38" spans="1:11">
      <c r="A38"/>
      <c r="B38"/>
      <c r="C38"/>
      <c r="D38"/>
      <c r="E38"/>
      <c r="F38"/>
      <c r="G38"/>
      <c r="H38"/>
      <c r="I38"/>
      <c r="J38"/>
    </row>
    <row r="39" spans="1:11" ht="30" customHeight="1">
      <c r="A39"/>
      <c r="B39"/>
      <c r="C39"/>
      <c r="D39"/>
      <c r="E39"/>
      <c r="F39"/>
      <c r="G39"/>
      <c r="H39"/>
      <c r="I39"/>
      <c r="J39"/>
    </row>
    <row r="40" spans="1:11">
      <c r="A40"/>
      <c r="B40"/>
      <c r="C40"/>
      <c r="D40"/>
      <c r="E40"/>
      <c r="F40"/>
      <c r="G40"/>
      <c r="H40"/>
      <c r="I40"/>
      <c r="J40"/>
      <c r="K40" s="43"/>
    </row>
    <row r="41" spans="1:11">
      <c r="A41"/>
      <c r="B41"/>
      <c r="C41"/>
      <c r="D41"/>
      <c r="E41"/>
      <c r="F41"/>
      <c r="G41"/>
      <c r="H41"/>
      <c r="I41"/>
      <c r="J41"/>
    </row>
    <row r="42" spans="1:11" ht="30" customHeight="1">
      <c r="A42"/>
      <c r="B42"/>
      <c r="C42"/>
      <c r="D42"/>
      <c r="E42"/>
      <c r="F42"/>
      <c r="G42"/>
      <c r="H42"/>
      <c r="I42"/>
      <c r="J42"/>
    </row>
    <row r="43" spans="1:11">
      <c r="A43"/>
      <c r="B43"/>
      <c r="C43"/>
      <c r="D43"/>
      <c r="E43"/>
      <c r="F43"/>
      <c r="G43"/>
      <c r="H43"/>
      <c r="I43"/>
      <c r="J43"/>
    </row>
    <row r="44" spans="1:11" ht="19.5" customHeight="1">
      <c r="A44"/>
      <c r="B44" s="53"/>
      <c r="C44" s="53"/>
      <c r="D44" s="53"/>
      <c r="E44" s="53"/>
      <c r="F44" s="53"/>
      <c r="G44" s="53"/>
      <c r="H44" s="53"/>
      <c r="I44" s="53"/>
      <c r="J44" s="43"/>
    </row>
    <row r="45" spans="1:11" ht="24.75" customHeight="1">
      <c r="A45"/>
      <c r="B45"/>
      <c r="C45"/>
      <c r="D45"/>
      <c r="E45"/>
      <c r="F45"/>
      <c r="G45"/>
      <c r="H45"/>
      <c r="I45"/>
      <c r="J45"/>
    </row>
    <row r="46" spans="1:11" ht="15.75">
      <c r="A46"/>
      <c r="B46" s="59" t="s">
        <v>1409</v>
      </c>
    </row>
    <row r="47" spans="1:11">
      <c r="A47"/>
      <c r="B47"/>
      <c r="C47"/>
      <c r="D47"/>
      <c r="E47"/>
      <c r="F47"/>
      <c r="G47"/>
      <c r="H47"/>
      <c r="I47"/>
      <c r="J47"/>
    </row>
    <row r="48" spans="1:11">
      <c r="A48"/>
      <c r="B48" s="654" t="s">
        <v>395</v>
      </c>
      <c r="C48" s="655"/>
      <c r="D48" s="655"/>
      <c r="E48" s="655"/>
      <c r="F48" s="655"/>
      <c r="G48" s="655"/>
      <c r="H48" s="655"/>
      <c r="I48" s="655"/>
      <c r="J48" s="655"/>
      <c r="K48" s="301"/>
    </row>
    <row r="49" spans="1:11" ht="29.25" customHeight="1">
      <c r="A49"/>
      <c r="B49" s="999" t="s">
        <v>1908</v>
      </c>
      <c r="C49" s="657"/>
      <c r="D49" s="657"/>
      <c r="E49" s="657"/>
      <c r="F49" s="657"/>
      <c r="G49" s="657"/>
      <c r="H49" s="657"/>
      <c r="I49" s="657"/>
      <c r="J49" s="657"/>
      <c r="K49" s="215"/>
    </row>
    <row r="50" spans="1:11">
      <c r="A50"/>
      <c r="B50" s="300" t="s">
        <v>1207</v>
      </c>
      <c r="C50" s="152"/>
      <c r="D50" s="152"/>
      <c r="E50" s="152"/>
      <c r="F50" s="152"/>
      <c r="G50" s="152"/>
      <c r="H50" s="152"/>
      <c r="I50" s="152"/>
      <c r="J50" s="152"/>
    </row>
    <row r="51" spans="1:11">
      <c r="A51"/>
      <c r="B51"/>
      <c r="C51"/>
      <c r="D51"/>
      <c r="E51"/>
      <c r="F51"/>
      <c r="G51"/>
      <c r="H51"/>
      <c r="I51"/>
      <c r="J51"/>
    </row>
    <row r="52" spans="1:11" ht="15" customHeight="1">
      <c r="A52"/>
      <c r="B52" s="654" t="s">
        <v>408</v>
      </c>
      <c r="C52" s="655"/>
      <c r="D52" s="655"/>
      <c r="E52" s="655"/>
      <c r="F52" s="655"/>
      <c r="G52" s="655"/>
      <c r="H52" s="655"/>
      <c r="I52" s="655"/>
      <c r="J52" s="655"/>
      <c r="K52" s="181"/>
    </row>
    <row r="53" spans="1:11">
      <c r="A53"/>
      <c r="B53" s="654" t="s">
        <v>340</v>
      </c>
      <c r="C53" s="655"/>
      <c r="D53" s="655"/>
      <c r="E53" s="655"/>
      <c r="F53" s="655"/>
      <c r="G53" s="655"/>
      <c r="H53" s="655"/>
      <c r="I53" s="655"/>
      <c r="J53" s="655"/>
      <c r="K53" s="215"/>
    </row>
    <row r="54" spans="1:11">
      <c r="A54"/>
      <c r="B54" s="1097" t="s">
        <v>397</v>
      </c>
      <c r="C54" s="1097"/>
      <c r="D54" s="1097"/>
      <c r="E54" s="1097"/>
      <c r="F54" s="1097"/>
      <c r="G54" s="1097"/>
      <c r="H54" s="1097"/>
      <c r="I54" s="1097"/>
      <c r="J54" s="156" t="s">
        <v>339</v>
      </c>
      <c r="K54" s="215"/>
    </row>
    <row r="55" spans="1:11" ht="30" customHeight="1">
      <c r="A55"/>
      <c r="B55" s="1097" t="s">
        <v>1389</v>
      </c>
      <c r="C55" s="1097"/>
      <c r="D55" s="1097"/>
      <c r="E55" s="1097"/>
      <c r="F55" s="1097"/>
      <c r="G55" s="1097"/>
      <c r="H55" s="1097"/>
      <c r="I55" s="1097"/>
      <c r="J55" s="156" t="s">
        <v>396</v>
      </c>
      <c r="K55" s="181"/>
    </row>
    <row r="56" spans="1:11" ht="84.95" customHeight="1">
      <c r="A56"/>
      <c r="B56" s="1098"/>
      <c r="C56" s="1098"/>
      <c r="D56" s="1098"/>
      <c r="E56" s="1098"/>
      <c r="F56" s="1098"/>
      <c r="G56" s="1098"/>
      <c r="H56" s="1098"/>
      <c r="I56" s="1098"/>
      <c r="J56" s="1098"/>
      <c r="K56" s="215"/>
    </row>
    <row r="57" spans="1:11" ht="45" customHeight="1">
      <c r="A57"/>
      <c r="B57" s="774" t="s">
        <v>1388</v>
      </c>
      <c r="C57" s="774"/>
      <c r="D57" s="774"/>
      <c r="E57" s="774"/>
      <c r="F57" s="774"/>
      <c r="G57" s="774"/>
      <c r="H57" s="774"/>
      <c r="I57" s="774"/>
      <c r="J57" s="156" t="s">
        <v>396</v>
      </c>
      <c r="K57" s="215"/>
    </row>
    <row r="58" spans="1:11" ht="84.95" customHeight="1">
      <c r="A58"/>
      <c r="B58" s="1098"/>
      <c r="C58" s="1098"/>
      <c r="D58" s="1098"/>
      <c r="E58" s="1098"/>
      <c r="F58" s="1098"/>
      <c r="G58" s="1098"/>
      <c r="H58" s="1098"/>
      <c r="I58" s="1098"/>
      <c r="J58" s="1098"/>
      <c r="K58" s="215"/>
    </row>
    <row r="59" spans="1:11">
      <c r="A59"/>
      <c r="B59" s="300" t="s">
        <v>1207</v>
      </c>
      <c r="C59" s="152"/>
      <c r="D59" s="152"/>
      <c r="E59" s="152"/>
      <c r="F59" s="152"/>
      <c r="G59" s="152"/>
      <c r="H59" s="152"/>
      <c r="I59" s="152"/>
      <c r="J59" s="152"/>
    </row>
    <row r="60" spans="1:11">
      <c r="A60"/>
      <c r="B60"/>
      <c r="C60"/>
      <c r="D60"/>
      <c r="E60"/>
      <c r="F60"/>
      <c r="G60"/>
      <c r="H60"/>
      <c r="I60"/>
      <c r="J60"/>
    </row>
    <row r="61" spans="1:11">
      <c r="A61"/>
      <c r="B61"/>
      <c r="C61"/>
      <c r="D61"/>
      <c r="E61"/>
      <c r="F61"/>
      <c r="G61"/>
      <c r="H61"/>
      <c r="I61"/>
      <c r="J61"/>
    </row>
    <row r="62" spans="1:11" ht="15" customHeight="1">
      <c r="A62"/>
      <c r="B62"/>
      <c r="C62"/>
      <c r="D62"/>
      <c r="E62"/>
      <c r="F62"/>
      <c r="G62"/>
      <c r="H62"/>
      <c r="I62"/>
      <c r="J62"/>
    </row>
    <row r="63" spans="1:11" ht="30" customHeight="1">
      <c r="A63"/>
      <c r="B63"/>
      <c r="C63"/>
      <c r="D63"/>
      <c r="E63"/>
      <c r="F63"/>
      <c r="G63"/>
      <c r="H63"/>
      <c r="I63"/>
      <c r="J63"/>
    </row>
    <row r="64" spans="1:11" ht="40.5" customHeight="1">
      <c r="A64"/>
      <c r="B64"/>
      <c r="C64"/>
      <c r="D64"/>
      <c r="E64"/>
      <c r="F64"/>
      <c r="G64"/>
      <c r="H64"/>
      <c r="I64"/>
      <c r="J64"/>
    </row>
    <row r="65" spans="1:37" ht="30" customHeight="1">
      <c r="A65"/>
      <c r="B65"/>
      <c r="C65"/>
      <c r="D65"/>
      <c r="E65"/>
      <c r="F65"/>
      <c r="G65"/>
      <c r="H65"/>
      <c r="I65"/>
      <c r="J65"/>
    </row>
    <row r="66" spans="1:37">
      <c r="A66"/>
      <c r="J66"/>
      <c r="K66"/>
      <c r="L66"/>
      <c r="M66"/>
      <c r="N66"/>
      <c r="O66"/>
      <c r="P66"/>
      <c r="Q66"/>
      <c r="R66"/>
      <c r="S66"/>
      <c r="T66"/>
      <c r="U66"/>
      <c r="V66"/>
      <c r="W66"/>
      <c r="X66"/>
      <c r="Y66"/>
    </row>
    <row r="67" spans="1:37">
      <c r="A67"/>
      <c r="B67" s="44"/>
      <c r="C67" s="44"/>
      <c r="F67"/>
      <c r="G67"/>
      <c r="H67"/>
      <c r="J67"/>
      <c r="K67"/>
      <c r="L67"/>
      <c r="M67"/>
      <c r="N67"/>
      <c r="O67"/>
      <c r="P67"/>
      <c r="Q67"/>
      <c r="R67"/>
      <c r="S67"/>
      <c r="T67"/>
      <c r="U67"/>
      <c r="V67"/>
      <c r="W67"/>
      <c r="X67"/>
      <c r="Y67"/>
    </row>
    <row r="68" spans="1:37">
      <c r="A68"/>
      <c r="B68" s="44"/>
      <c r="C68" s="4"/>
      <c r="J68"/>
      <c r="K68"/>
      <c r="L68"/>
      <c r="M68"/>
      <c r="N68"/>
      <c r="O68"/>
      <c r="P68"/>
      <c r="Q68"/>
      <c r="R68"/>
      <c r="S68"/>
      <c r="T68"/>
      <c r="U68"/>
      <c r="V68"/>
      <c r="W68"/>
      <c r="X68"/>
      <c r="Y68"/>
    </row>
    <row r="69" spans="1:37">
      <c r="A69"/>
      <c r="K69"/>
      <c r="L69"/>
      <c r="M69"/>
      <c r="N69"/>
      <c r="O69"/>
      <c r="P69" s="54"/>
      <c r="Q69"/>
      <c r="R69"/>
      <c r="S69"/>
      <c r="T69"/>
      <c r="U69"/>
      <c r="V69"/>
      <c r="W69"/>
      <c r="X69"/>
      <c r="Y69"/>
    </row>
    <row r="70" spans="1:37" s="4" customFormat="1">
      <c r="A70"/>
      <c r="K70"/>
      <c r="L70"/>
      <c r="M70"/>
      <c r="N70"/>
      <c r="O70"/>
      <c r="P70"/>
      <c r="Q70"/>
      <c r="R70"/>
      <c r="S70"/>
      <c r="T70"/>
      <c r="U70"/>
      <c r="V70"/>
      <c r="W70"/>
      <c r="X70"/>
      <c r="Y70"/>
    </row>
    <row r="71" spans="1:37">
      <c r="A71"/>
      <c r="K71"/>
      <c r="L71"/>
      <c r="M71"/>
      <c r="N71"/>
      <c r="O71"/>
      <c r="P71"/>
      <c r="Q71"/>
      <c r="R71"/>
      <c r="S71"/>
      <c r="T71"/>
      <c r="U71"/>
      <c r="V71"/>
      <c r="W71"/>
      <c r="X71"/>
      <c r="Y71"/>
    </row>
    <row r="72" spans="1:37">
      <c r="A72"/>
      <c r="K72"/>
      <c r="L72"/>
      <c r="M72"/>
      <c r="N72"/>
      <c r="O72"/>
      <c r="P72"/>
      <c r="Q72"/>
      <c r="R72"/>
      <c r="S72"/>
      <c r="T72"/>
      <c r="U72"/>
      <c r="V72"/>
      <c r="W72"/>
      <c r="X72"/>
      <c r="Y72"/>
    </row>
    <row r="73" spans="1:37">
      <c r="A73"/>
      <c r="B73"/>
      <c r="C73"/>
      <c r="D73"/>
      <c r="E73"/>
      <c r="F73"/>
      <c r="G73"/>
      <c r="H73"/>
      <c r="J73"/>
      <c r="K73"/>
      <c r="L73"/>
      <c r="M73"/>
      <c r="N73"/>
      <c r="O73"/>
      <c r="P73"/>
      <c r="Q73"/>
      <c r="R73"/>
      <c r="S73"/>
      <c r="T73"/>
      <c r="U73"/>
      <c r="V73"/>
      <c r="W73"/>
      <c r="X73"/>
      <c r="Y73"/>
    </row>
    <row r="74" spans="1:37">
      <c r="A74"/>
      <c r="B74"/>
      <c r="C74"/>
      <c r="D74"/>
      <c r="E74"/>
      <c r="F74"/>
      <c r="G74"/>
      <c r="H74"/>
      <c r="J74"/>
      <c r="K74"/>
      <c r="L74"/>
      <c r="M74"/>
      <c r="N74"/>
      <c r="O74"/>
      <c r="P74"/>
      <c r="Q74"/>
      <c r="R74"/>
      <c r="S74"/>
      <c r="T74"/>
      <c r="U74"/>
      <c r="V74"/>
      <c r="W74"/>
      <c r="X74"/>
      <c r="Y74"/>
      <c r="Z74"/>
      <c r="AA74"/>
      <c r="AB74"/>
      <c r="AC74"/>
      <c r="AD74"/>
      <c r="AE74" s="47"/>
      <c r="AI74" s="47"/>
      <c r="AJ74" s="47"/>
      <c r="AK74" s="47"/>
    </row>
    <row r="75" spans="1:37">
      <c r="A75"/>
      <c r="C75"/>
      <c r="D75"/>
      <c r="E75"/>
      <c r="F75"/>
      <c r="G75"/>
      <c r="H75"/>
      <c r="I75" s="4"/>
      <c r="J75"/>
      <c r="K75"/>
      <c r="L75"/>
      <c r="M75"/>
      <c r="N75"/>
      <c r="O75"/>
      <c r="P75"/>
      <c r="Q75"/>
      <c r="R75"/>
      <c r="S75"/>
      <c r="T75"/>
      <c r="U75"/>
      <c r="V75"/>
      <c r="W75"/>
      <c r="X75"/>
      <c r="Y75"/>
      <c r="Z75"/>
      <c r="AA75"/>
      <c r="AB75"/>
      <c r="AC75"/>
      <c r="AD75"/>
    </row>
    <row r="76" spans="1:37">
      <c r="A76"/>
      <c r="B76"/>
      <c r="C76"/>
      <c r="D76"/>
      <c r="E76"/>
      <c r="F76"/>
      <c r="G76"/>
      <c r="H76"/>
      <c r="J76"/>
      <c r="K76"/>
      <c r="L76"/>
      <c r="M76"/>
      <c r="N76"/>
      <c r="O76"/>
      <c r="P76"/>
      <c r="Q76"/>
      <c r="R76"/>
      <c r="S76"/>
      <c r="T76"/>
      <c r="U76"/>
      <c r="V76"/>
      <c r="W76"/>
      <c r="X76"/>
      <c r="Y76"/>
      <c r="Z76"/>
      <c r="AA76"/>
      <c r="AB76"/>
      <c r="AC76"/>
      <c r="AD76"/>
    </row>
    <row r="77" spans="1:37">
      <c r="A77"/>
      <c r="B77"/>
      <c r="C77"/>
      <c r="D77"/>
      <c r="E77"/>
      <c r="F77"/>
      <c r="G77"/>
      <c r="H77"/>
      <c r="J77"/>
      <c r="K77"/>
      <c r="L77"/>
      <c r="M77"/>
      <c r="N77"/>
      <c r="O77"/>
      <c r="P77"/>
      <c r="Q77"/>
      <c r="R77"/>
      <c r="S77"/>
      <c r="T77"/>
      <c r="U77"/>
      <c r="V77"/>
      <c r="W77"/>
      <c r="X77"/>
      <c r="Y77"/>
      <c r="Z77"/>
      <c r="AA77"/>
      <c r="AB77"/>
      <c r="AC77"/>
      <c r="AD77"/>
    </row>
    <row r="78" spans="1:37">
      <c r="A78"/>
      <c r="B78"/>
      <c r="C78"/>
      <c r="D78"/>
      <c r="E78"/>
      <c r="F78"/>
      <c r="G78"/>
      <c r="H78"/>
      <c r="J78"/>
      <c r="K78"/>
      <c r="L78"/>
      <c r="M78"/>
      <c r="N78"/>
      <c r="O78"/>
      <c r="P78"/>
      <c r="Q78"/>
      <c r="R78"/>
      <c r="S78"/>
      <c r="T78"/>
      <c r="U78"/>
      <c r="V78"/>
      <c r="W78"/>
      <c r="X78"/>
      <c r="Y78"/>
      <c r="Z78"/>
      <c r="AA78"/>
      <c r="AB78"/>
      <c r="AC78"/>
      <c r="AD78"/>
    </row>
    <row r="79" spans="1:37">
      <c r="A79"/>
      <c r="B79"/>
      <c r="C79"/>
      <c r="D79"/>
      <c r="E79"/>
      <c r="F79"/>
      <c r="G79"/>
      <c r="H79"/>
      <c r="J79"/>
      <c r="K79"/>
      <c r="L79"/>
      <c r="M79"/>
      <c r="N79"/>
      <c r="O79"/>
      <c r="P79"/>
      <c r="Q79"/>
      <c r="R79"/>
      <c r="S79"/>
      <c r="T79"/>
      <c r="U79"/>
      <c r="V79"/>
      <c r="W79"/>
      <c r="X79"/>
      <c r="Y79"/>
      <c r="Z79"/>
      <c r="AA79"/>
      <c r="AB79"/>
      <c r="AC79"/>
      <c r="AD79"/>
    </row>
    <row r="80" spans="1:37">
      <c r="A80"/>
      <c r="B80"/>
      <c r="C80"/>
      <c r="D80"/>
      <c r="E80"/>
      <c r="F80"/>
      <c r="G80"/>
      <c r="H80"/>
      <c r="J80"/>
      <c r="K80"/>
      <c r="L80"/>
      <c r="M80"/>
      <c r="N80"/>
      <c r="O80"/>
      <c r="P80"/>
      <c r="Q80"/>
      <c r="R80"/>
      <c r="S80"/>
      <c r="T80"/>
      <c r="U80"/>
      <c r="V80"/>
      <c r="W80"/>
      <c r="X80"/>
      <c r="Y80"/>
      <c r="Z80"/>
      <c r="AA80"/>
      <c r="AB80"/>
      <c r="AC80"/>
      <c r="AD80"/>
    </row>
    <row r="81" spans="1:25">
      <c r="A81"/>
      <c r="B81"/>
      <c r="C81"/>
      <c r="D81"/>
      <c r="E81"/>
      <c r="F81"/>
      <c r="G81"/>
      <c r="H81"/>
      <c r="J81"/>
      <c r="K81"/>
      <c r="L81"/>
      <c r="M81"/>
      <c r="N81"/>
      <c r="O81"/>
      <c r="P81"/>
      <c r="Q81"/>
      <c r="R81"/>
      <c r="S81"/>
      <c r="T81"/>
      <c r="U81"/>
      <c r="V81"/>
      <c r="W81"/>
      <c r="X81"/>
      <c r="Y81"/>
    </row>
    <row r="82" spans="1:25">
      <c r="A82"/>
      <c r="B82"/>
      <c r="C82"/>
      <c r="D82"/>
      <c r="E82"/>
      <c r="F82"/>
      <c r="G82"/>
      <c r="H82"/>
      <c r="J82"/>
      <c r="K82"/>
      <c r="L82"/>
      <c r="M82"/>
      <c r="N82"/>
      <c r="O82"/>
      <c r="P82"/>
      <c r="Q82"/>
      <c r="R82"/>
      <c r="S82"/>
      <c r="T82"/>
      <c r="U82"/>
      <c r="V82"/>
      <c r="W82"/>
      <c r="X82"/>
      <c r="Y82"/>
    </row>
    <row r="83" spans="1:25">
      <c r="A83"/>
      <c r="B83"/>
      <c r="C83"/>
      <c r="D83"/>
      <c r="J83"/>
      <c r="K83"/>
      <c r="L83"/>
      <c r="M83"/>
      <c r="N83"/>
      <c r="O83"/>
      <c r="P83"/>
      <c r="Q83"/>
      <c r="R83"/>
      <c r="S83"/>
      <c r="T83"/>
      <c r="U83"/>
      <c r="V83"/>
      <c r="W83"/>
      <c r="X83"/>
      <c r="Y83"/>
    </row>
    <row r="84" spans="1:25">
      <c r="A84"/>
      <c r="B84"/>
      <c r="C84"/>
      <c r="D84"/>
      <c r="J84"/>
      <c r="K84"/>
      <c r="L84"/>
      <c r="M84"/>
      <c r="N84"/>
      <c r="O84"/>
      <c r="P84"/>
      <c r="Q84"/>
      <c r="R84"/>
      <c r="S84"/>
      <c r="T84"/>
      <c r="U84"/>
      <c r="V84"/>
      <c r="W84"/>
      <c r="X84"/>
      <c r="Y84"/>
    </row>
    <row r="85" spans="1:25">
      <c r="A85"/>
      <c r="B85"/>
      <c r="C85"/>
      <c r="D85"/>
      <c r="J85"/>
      <c r="K85"/>
      <c r="L85"/>
      <c r="M85"/>
      <c r="N85"/>
      <c r="O85"/>
      <c r="P85"/>
      <c r="Q85"/>
      <c r="R85"/>
      <c r="S85"/>
      <c r="T85"/>
      <c r="U85"/>
      <c r="V85"/>
      <c r="W85"/>
      <c r="X85"/>
      <c r="Y85"/>
    </row>
    <row r="86" spans="1:25">
      <c r="A86"/>
      <c r="B86"/>
      <c r="C86"/>
      <c r="D86"/>
      <c r="J86"/>
      <c r="K86"/>
      <c r="L86"/>
      <c r="M86"/>
      <c r="N86"/>
      <c r="O86"/>
      <c r="P86"/>
      <c r="Q86"/>
      <c r="R86"/>
      <c r="S86"/>
      <c r="T86"/>
      <c r="U86"/>
      <c r="V86"/>
      <c r="W86"/>
      <c r="X86"/>
      <c r="Y86"/>
    </row>
    <row r="87" spans="1:25">
      <c r="A87"/>
      <c r="B87"/>
      <c r="C87"/>
      <c r="D87"/>
      <c r="J87"/>
      <c r="K87"/>
      <c r="L87"/>
      <c r="M87"/>
      <c r="N87"/>
      <c r="O87"/>
      <c r="P87"/>
      <c r="Q87"/>
      <c r="R87"/>
      <c r="S87"/>
      <c r="T87"/>
      <c r="U87"/>
      <c r="V87"/>
      <c r="W87"/>
      <c r="X87"/>
      <c r="Y87"/>
    </row>
    <row r="88" spans="1:25">
      <c r="A88"/>
      <c r="B88"/>
      <c r="C88"/>
      <c r="D88"/>
      <c r="J88"/>
      <c r="K88"/>
      <c r="L88"/>
      <c r="M88"/>
      <c r="N88"/>
      <c r="O88"/>
      <c r="P88"/>
      <c r="Q88"/>
      <c r="R88"/>
      <c r="S88"/>
      <c r="T88"/>
      <c r="U88"/>
      <c r="V88"/>
      <c r="W88"/>
      <c r="X88"/>
      <c r="Y88"/>
    </row>
    <row r="89" spans="1:25">
      <c r="A89"/>
      <c r="B89"/>
      <c r="C89"/>
      <c r="D89"/>
      <c r="J89"/>
      <c r="K89"/>
      <c r="L89"/>
      <c r="M89"/>
      <c r="N89"/>
      <c r="O89"/>
      <c r="P89"/>
      <c r="Q89"/>
      <c r="R89"/>
      <c r="S89"/>
      <c r="T89"/>
      <c r="U89"/>
      <c r="V89"/>
      <c r="W89"/>
      <c r="X89"/>
      <c r="Y89"/>
    </row>
    <row r="90" spans="1:25">
      <c r="A90"/>
      <c r="B90"/>
      <c r="C90"/>
      <c r="D90"/>
      <c r="J90"/>
      <c r="K90"/>
      <c r="L90"/>
      <c r="M90"/>
      <c r="N90"/>
      <c r="O90"/>
      <c r="P90"/>
      <c r="Q90"/>
      <c r="R90"/>
      <c r="S90"/>
      <c r="T90"/>
      <c r="U90"/>
      <c r="V90"/>
      <c r="W90"/>
      <c r="X90"/>
      <c r="Y90"/>
    </row>
    <row r="91" spans="1:25">
      <c r="A91"/>
      <c r="B91"/>
      <c r="C91"/>
      <c r="D91"/>
      <c r="J91"/>
      <c r="K91"/>
      <c r="L91"/>
      <c r="M91"/>
      <c r="N91"/>
      <c r="O91"/>
      <c r="P91"/>
      <c r="Q91"/>
      <c r="R91"/>
      <c r="S91"/>
      <c r="T91"/>
      <c r="U91"/>
      <c r="V91"/>
      <c r="W91"/>
      <c r="X91"/>
      <c r="Y91"/>
    </row>
    <row r="92" spans="1:25">
      <c r="J92"/>
      <c r="K92"/>
      <c r="L92"/>
      <c r="M92"/>
      <c r="N92"/>
      <c r="O92"/>
      <c r="P92"/>
      <c r="Q92"/>
      <c r="R92"/>
      <c r="S92"/>
      <c r="T92"/>
      <c r="U92"/>
      <c r="V92"/>
      <c r="W92"/>
      <c r="X92"/>
      <c r="Y92"/>
    </row>
    <row r="93" spans="1:25">
      <c r="J93"/>
      <c r="K93"/>
      <c r="L93"/>
      <c r="M93"/>
      <c r="N93"/>
      <c r="O93"/>
      <c r="P93"/>
      <c r="Q93"/>
      <c r="R93"/>
      <c r="S93"/>
      <c r="T93"/>
      <c r="U93"/>
      <c r="V93"/>
      <c r="W93"/>
      <c r="X93"/>
      <c r="Y93"/>
    </row>
    <row r="94" spans="1:25">
      <c r="H94" s="46"/>
      <c r="J94"/>
      <c r="K94"/>
      <c r="L94"/>
      <c r="M94"/>
      <c r="N94"/>
      <c r="O94"/>
      <c r="P94"/>
      <c r="Q94"/>
      <c r="R94"/>
      <c r="S94"/>
      <c r="T94"/>
      <c r="U94"/>
      <c r="V94"/>
      <c r="W94"/>
      <c r="X94"/>
      <c r="Y94"/>
    </row>
    <row r="95" spans="1:25">
      <c r="J95"/>
      <c r="K95"/>
      <c r="L95"/>
      <c r="M95"/>
      <c r="N95"/>
      <c r="O95"/>
      <c r="P95"/>
      <c r="Q95"/>
      <c r="R95"/>
      <c r="S95"/>
      <c r="T95"/>
      <c r="U95"/>
      <c r="V95"/>
      <c r="W95"/>
      <c r="X95"/>
      <c r="Y95"/>
    </row>
    <row r="96" spans="1:25">
      <c r="J96"/>
      <c r="K96"/>
      <c r="L96"/>
      <c r="M96"/>
      <c r="N96"/>
      <c r="O96"/>
      <c r="P96"/>
      <c r="Q96"/>
      <c r="R96"/>
      <c r="S96"/>
      <c r="T96"/>
      <c r="U96"/>
      <c r="V96"/>
      <c r="W96"/>
      <c r="X96"/>
      <c r="Y96"/>
    </row>
  </sheetData>
  <sheetProtection formatCells="0" formatColumns="0" formatRows="0" insertHyperlinks="0"/>
  <mergeCells count="29">
    <mergeCell ref="B54:I54"/>
    <mergeCell ref="B22:E22"/>
    <mergeCell ref="B20:E20"/>
    <mergeCell ref="B58:J58"/>
    <mergeCell ref="B56:J56"/>
    <mergeCell ref="B57:I57"/>
    <mergeCell ref="B55:I55"/>
    <mergeCell ref="B48:J48"/>
    <mergeCell ref="B23:C25"/>
    <mergeCell ref="D23:E23"/>
    <mergeCell ref="D25:E25"/>
    <mergeCell ref="B26:J26"/>
    <mergeCell ref="B49:J49"/>
    <mergeCell ref="B52:J52"/>
    <mergeCell ref="B53:J53"/>
    <mergeCell ref="B2:D2"/>
    <mergeCell ref="B16:C16"/>
    <mergeCell ref="B19:E19"/>
    <mergeCell ref="B21:E21"/>
    <mergeCell ref="D24:E24"/>
    <mergeCell ref="E8:F8"/>
    <mergeCell ref="E9:F9"/>
    <mergeCell ref="E10:F10"/>
    <mergeCell ref="E11:F11"/>
    <mergeCell ref="B9:C9"/>
    <mergeCell ref="B10:C10"/>
    <mergeCell ref="B11:C11"/>
    <mergeCell ref="B12:C12"/>
    <mergeCell ref="E12:F12"/>
  </mergeCells>
  <conditionalFormatting sqref="D9 D12 B16:C16 J54:J55 J57 H23:J25 H19:J21">
    <cfRule type="expression" dxfId="13" priority="17">
      <formula>$A$2="PRINT"</formula>
    </cfRule>
  </conditionalFormatting>
  <conditionalFormatting sqref="E9">
    <cfRule type="expression" dxfId="12" priority="4">
      <formula>$D$9="%"</formula>
    </cfRule>
    <cfRule type="expression" dxfId="11" priority="5">
      <formula>$D$9="fraction of min"</formula>
    </cfRule>
  </conditionalFormatting>
  <conditionalFormatting sqref="E9:F9">
    <cfRule type="expression" dxfId="10" priority="6">
      <formula>$G$9&lt;&gt;""</formula>
    </cfRule>
  </conditionalFormatting>
  <conditionalFormatting sqref="E10:F10">
    <cfRule type="expression" dxfId="9" priority="3">
      <formula>E10&gt;0.02=TRUE</formula>
    </cfRule>
  </conditionalFormatting>
  <conditionalFormatting sqref="E11:F11">
    <cfRule type="expression" dxfId="8" priority="2">
      <formula>E11&lt;E10=TRUE</formula>
    </cfRule>
  </conditionalFormatting>
  <conditionalFormatting sqref="H22:J22">
    <cfRule type="expression" dxfId="7" priority="1">
      <formula>$A$2="PRINT"</formula>
    </cfRule>
  </conditionalFormatting>
  <dataValidations count="5">
    <dataValidation type="list" allowBlank="1" showInputMessage="1" showErrorMessage="1" sqref="D12" xr:uid="{00000000-0002-0000-3D00-000000000000}">
      <formula1>"Select,fixed,modulated"</formula1>
    </dataValidation>
    <dataValidation type="list" allowBlank="1" showInputMessage="1" showErrorMessage="1" sqref="D9" xr:uid="{00000000-0002-0000-3D00-000001000000}">
      <formula1>"Select,%,fraction of min"</formula1>
    </dataValidation>
    <dataValidation type="list" allowBlank="1" showInputMessage="1" showErrorMessage="1" sqref="J54:J55 J57" xr:uid="{00000000-0002-0000-3D00-000002000000}">
      <formula1>"Select,Yes,No"</formula1>
    </dataValidation>
    <dataValidation allowBlank="1" showInputMessage="1" showErrorMessage="1" errorTitle="Invalid max bonus value" error="The max bonus cannot be higher than 2%" sqref="E10:F10" xr:uid="{00000000-0002-0000-3D00-000003000000}"/>
    <dataValidation allowBlank="1" showInputMessage="1" showErrorMessage="1" errorTitle="Invalid max bonus value" error="The max penalty cannot be lower than then max bonus." sqref="E11:F11" xr:uid="{00000000-0002-0000-3D00-000004000000}"/>
  </dataValidations>
  <pageMargins left="0.70866141732283472" right="0.70866141732283472" top="0.74803149606299213" bottom="0.74803149606299213" header="0.31496062992125984" footer="0.31496062992125984"/>
  <pageSetup paperSize="9" scale="60" fitToHeight="0" orientation="portrait" r:id="rId1"/>
  <headerFooter>
    <oddFooter>&amp;C&amp;P</oddFooter>
  </headerFooter>
  <drawing r:id="rId2"/>
  <picture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104">
    <tabColor theme="2" tint="-0.249977111117893"/>
    <pageSetUpPr fitToPage="1"/>
  </sheetPr>
  <dimension ref="A1:AK96"/>
  <sheetViews>
    <sheetView showGridLines="0" zoomScaleNormal="100" workbookViewId="0">
      <selection activeCell="B2" sqref="B2"/>
    </sheetView>
  </sheetViews>
  <sheetFormatPr defaultColWidth="9.140625" defaultRowHeight="15"/>
  <cols>
    <col min="1" max="1" width="9.140625" style="16"/>
    <col min="2" max="2" width="22.140625" style="16" customWidth="1"/>
    <col min="3" max="3" width="13.42578125" style="16" customWidth="1"/>
    <col min="4" max="4" width="14.140625" style="16" bestFit="1" customWidth="1"/>
    <col min="5" max="5" width="7.85546875" style="16" customWidth="1"/>
    <col min="6" max="10" width="16.85546875" style="16" customWidth="1"/>
    <col min="11" max="11" width="1.7109375" style="16" customWidth="1"/>
    <col min="12" max="12" width="10.7109375" style="16" customWidth="1"/>
    <col min="13" max="14" width="9.140625" style="16"/>
    <col min="15" max="16" width="13.7109375" style="16" bestFit="1" customWidth="1"/>
    <col min="17" max="19" width="13.85546875" style="16" bestFit="1" customWidth="1"/>
    <col min="20" max="21" width="10" style="16" bestFit="1" customWidth="1"/>
    <col min="22" max="22" width="11.7109375" style="16" bestFit="1" customWidth="1"/>
    <col min="23" max="23" width="12.28515625" style="16" bestFit="1" customWidth="1"/>
    <col min="24" max="24" width="9.140625" style="16" customWidth="1"/>
    <col min="25" max="27" width="9.140625" style="16"/>
    <col min="28" max="28" width="22.28515625" style="16" customWidth="1"/>
    <col min="29" max="16384" width="9.140625" style="16"/>
  </cols>
  <sheetData>
    <row r="1" spans="1:14">
      <c r="A1" s="8"/>
      <c r="B1" s="38"/>
      <c r="C1" s="38"/>
      <c r="F1" s="38"/>
      <c r="G1" s="38"/>
      <c r="H1" s="38"/>
    </row>
    <row r="2" spans="1:14" ht="18" thickBot="1">
      <c r="A2" s="105"/>
      <c r="B2" s="32" t="s">
        <v>405</v>
      </c>
      <c r="C2" s="32"/>
      <c r="D2" s="32"/>
      <c r="E2" s="32"/>
      <c r="F2" s="32"/>
      <c r="G2" s="32"/>
      <c r="H2" s="32"/>
      <c r="I2" s="32"/>
      <c r="J2" s="32"/>
    </row>
    <row r="3" spans="1:14">
      <c r="B3" s="212"/>
      <c r="C3" s="212"/>
      <c r="D3" s="212"/>
      <c r="E3" s="293"/>
      <c r="F3" s="212"/>
      <c r="G3" s="293"/>
      <c r="H3" s="293"/>
      <c r="I3" s="212"/>
      <c r="J3" s="212"/>
    </row>
    <row r="4" spans="1:14" ht="18" customHeight="1">
      <c r="B4" s="59" t="s">
        <v>406</v>
      </c>
      <c r="C4" s="49"/>
      <c r="D4" s="49"/>
      <c r="E4" s="49"/>
      <c r="F4" s="49"/>
      <c r="G4" s="49"/>
      <c r="H4" s="49"/>
      <c r="I4" s="49"/>
      <c r="J4" s="49"/>
    </row>
    <row r="5" spans="1:14">
      <c r="E5" s="207"/>
      <c r="F5"/>
      <c r="G5"/>
      <c r="H5"/>
      <c r="I5"/>
      <c r="J5"/>
    </row>
    <row r="6" spans="1:14" ht="30" customHeight="1">
      <c r="B6" s="91" t="s">
        <v>264</v>
      </c>
      <c r="D6" s="294" t="s">
        <v>341</v>
      </c>
      <c r="E6" s="1087" t="s">
        <v>22</v>
      </c>
      <c r="F6" s="1088"/>
      <c r="G6" s="182"/>
      <c r="H6"/>
      <c r="I6"/>
      <c r="J6"/>
    </row>
    <row r="7" spans="1:14">
      <c r="B7" s="1093" t="s">
        <v>360</v>
      </c>
      <c r="C7" s="1094"/>
      <c r="D7" s="156" t="s">
        <v>396</v>
      </c>
      <c r="E7" s="1102"/>
      <c r="F7" s="1103"/>
      <c r="H7"/>
      <c r="I7"/>
      <c r="J7"/>
      <c r="M7" s="467" t="str">
        <f>IF(CONCATENATE('Graphics data'!X24,'Graphics data'!Y24,'Graphics data'!Z24,'Graphics data'!AA24,'Graphics data'!AA24)&lt;&gt;"","The dead band range cannot be wider than the range defined by ± 50% of the pivot value for any given year.","")</f>
        <v/>
      </c>
    </row>
    <row r="8" spans="1:14">
      <c r="B8" s="1093" t="s">
        <v>1480</v>
      </c>
      <c r="C8" s="631"/>
      <c r="D8" s="295" t="s">
        <v>380</v>
      </c>
      <c r="E8" s="1104">
        <v>0.5</v>
      </c>
      <c r="F8" s="1105"/>
      <c r="H8"/>
      <c r="I8"/>
      <c r="J8"/>
    </row>
    <row r="9" spans="1:14">
      <c r="B9" s="1093" t="s">
        <v>342</v>
      </c>
      <c r="C9" s="631"/>
      <c r="D9" s="295" t="s">
        <v>343</v>
      </c>
      <c r="E9" s="1106"/>
      <c r="F9" s="1107"/>
      <c r="H9"/>
      <c r="I9"/>
      <c r="J9"/>
      <c r="K9" s="55"/>
      <c r="M9" s="466" t="str">
        <f>IF($E$9&gt;0.02=TRUE,"The maximum bonus cannot be higher than 2% of the determined costs.","")</f>
        <v/>
      </c>
    </row>
    <row r="10" spans="1:14">
      <c r="B10" s="1093" t="s">
        <v>344</v>
      </c>
      <c r="C10" s="631"/>
      <c r="D10" s="295" t="s">
        <v>343</v>
      </c>
      <c r="E10" s="1108"/>
      <c r="F10" s="1109"/>
      <c r="H10"/>
      <c r="I10"/>
      <c r="J10"/>
      <c r="M10" s="466" t="str">
        <f>IF($E$10&lt;$E$9=TRUE,"The maximum penalty cannot be lower than the maximum bonus.","")</f>
        <v/>
      </c>
      <c r="N10" s="44"/>
    </row>
    <row r="11" spans="1:14">
      <c r="B11" s="654" t="s">
        <v>338</v>
      </c>
      <c r="C11" s="655"/>
      <c r="D11" s="156" t="s">
        <v>396</v>
      </c>
      <c r="E11" s="1095"/>
      <c r="F11" s="1096"/>
      <c r="G11" s="182"/>
      <c r="H11"/>
      <c r="I11"/>
      <c r="J11"/>
    </row>
    <row r="12" spans="1:14">
      <c r="B12" s="208"/>
      <c r="C12" s="208"/>
      <c r="D12" s="208"/>
      <c r="E12" s="208"/>
      <c r="F12" s="208"/>
      <c r="G12" s="38"/>
      <c r="H12" s="38"/>
    </row>
    <row r="13" spans="1:14" ht="15.75" hidden="1">
      <c r="A13"/>
      <c r="B13" s="59"/>
      <c r="C13" s="59"/>
      <c r="D13" s="59"/>
      <c r="E13" s="59"/>
      <c r="F13" s="59"/>
      <c r="G13"/>
      <c r="H13" s="59"/>
      <c r="I13" s="59"/>
      <c r="J13" s="59"/>
    </row>
    <row r="14" spans="1:14">
      <c r="A14"/>
      <c r="F14" s="44"/>
      <c r="J14" s="296"/>
    </row>
    <row r="15" spans="1:14">
      <c r="A15"/>
      <c r="F15" s="198">
        <v>2020</v>
      </c>
      <c r="G15" s="198">
        <v>2021</v>
      </c>
      <c r="H15" s="198">
        <v>2022</v>
      </c>
      <c r="I15" s="198">
        <v>2023</v>
      </c>
      <c r="J15" s="198">
        <v>2024</v>
      </c>
      <c r="K15" s="215"/>
    </row>
    <row r="16" spans="1:14" ht="15" customHeight="1">
      <c r="A16"/>
      <c r="B16" s="654" t="s">
        <v>401</v>
      </c>
      <c r="C16" s="655"/>
      <c r="D16" s="655"/>
      <c r="E16" s="655"/>
      <c r="F16" s="257"/>
      <c r="G16" s="257"/>
      <c r="H16" s="298" t="str">
        <f>IF('3.3.2 Terminal'!H$8="","-",'3.3.2 Terminal'!H$8)</f>
        <v>-</v>
      </c>
      <c r="I16" s="298" t="str">
        <f>IF('3.3.2 Terminal'!I$8="","-",'3.3.2 Terminal'!I$8)</f>
        <v>-</v>
      </c>
      <c r="J16" s="298" t="str">
        <f>IF('3.3.2 Terminal'!J$8="","-",'3.3.2 Terminal'!J$8)</f>
        <v>-</v>
      </c>
      <c r="K16" s="297"/>
    </row>
    <row r="17" spans="1:11" ht="15" customHeight="1">
      <c r="A17"/>
      <c r="B17" s="810" t="s">
        <v>1483</v>
      </c>
      <c r="C17" s="1081"/>
      <c r="D17" s="1081"/>
      <c r="E17" s="811"/>
      <c r="F17" s="257"/>
      <c r="G17" s="257"/>
      <c r="H17" s="395">
        <f>IFERROR(H18*$E$8,0)</f>
        <v>0</v>
      </c>
      <c r="I17" s="395">
        <f>IFERROR(I18*$E$8,0)</f>
        <v>0</v>
      </c>
      <c r="J17" s="395">
        <f>IFERROR(J18*$E$8,0)</f>
        <v>0</v>
      </c>
      <c r="K17" s="297"/>
    </row>
    <row r="18" spans="1:11" ht="15" customHeight="1">
      <c r="A18"/>
      <c r="B18" s="654" t="str">
        <f>IF($D11="modulated","Pivot values for RP3 (mins of ATFM delay per flight)*","Pivot values for RP3 (mins of ATFM delay per flight)")</f>
        <v>Pivot values for RP3 (mins of ATFM delay per flight)</v>
      </c>
      <c r="C18" s="655"/>
      <c r="D18" s="655"/>
      <c r="E18" s="655"/>
      <c r="F18" s="257"/>
      <c r="G18" s="257"/>
      <c r="H18" s="299"/>
      <c r="I18" s="299"/>
      <c r="J18" s="299"/>
      <c r="K18" s="215"/>
    </row>
    <row r="19" spans="1:11" ht="15" customHeight="1">
      <c r="A19"/>
      <c r="B19" s="1099" t="s">
        <v>345</v>
      </c>
      <c r="C19" s="1110"/>
      <c r="D19" s="1086" t="s">
        <v>359</v>
      </c>
      <c r="E19" s="1086"/>
      <c r="F19" s="257"/>
      <c r="G19" s="257"/>
      <c r="H19" s="304" t="str">
        <f>IFERROR("["&amp; IF('Graphics data'!Z$20&lt;0,0,ROUND('Graphics data'!Z$20,3)) &amp; "-"&amp; ROUND('Graphics data'!Z$21,3)&amp;"]","-")</f>
        <v>-</v>
      </c>
      <c r="I19" s="304" t="str">
        <f>IFERROR("["&amp; IF('Graphics data'!AA$20&lt;0,0,ROUND('Graphics data'!AA$20,3)) &amp; "-"&amp; ROUND('Graphics data'!AA$21,3)&amp;"]","-")</f>
        <v>-</v>
      </c>
      <c r="J19" s="304" t="str">
        <f>IFERROR("["&amp; IF('Graphics data'!AB$20&lt;0,0,ROUND('Graphics data'!AB$20,3)) &amp; "-"&amp; ROUND('Graphics data'!AB$21,3)&amp;"]","-")</f>
        <v>-</v>
      </c>
      <c r="K19" s="215"/>
    </row>
    <row r="20" spans="1:11">
      <c r="A20"/>
      <c r="B20" s="1111"/>
      <c r="C20" s="1112"/>
      <c r="D20" s="1086" t="s">
        <v>1628</v>
      </c>
      <c r="E20" s="1086"/>
      <c r="F20" s="257"/>
      <c r="G20" s="257"/>
      <c r="H20" s="304" t="str">
        <f>IFERROR(IF('Graphics data'!Z$20&lt;=0,"n/a","["&amp; IF('Graphics data'!Z$22&lt;0,0,ROUND('Graphics data'!Z$22,3)) &amp; "-"&amp; ROUND('Graphics data'!Z$20,3)&amp;"]"),"-")</f>
        <v>-</v>
      </c>
      <c r="I20" s="304" t="str">
        <f>IFERROR(IF('Graphics data'!AA$20&lt;=0,"n/a","["&amp; IF('Graphics data'!AA$22&lt;0,0,ROUND('Graphics data'!AA$22,3)) &amp; "-"&amp; ROUND('Graphics data'!AA$20,3)&amp;"]"),"-")</f>
        <v>-</v>
      </c>
      <c r="J20" s="304" t="str">
        <f>IFERROR(IF('Graphics data'!AB$20&lt;=0,"n/a","["&amp; IF('Graphics data'!AB$22&lt;0,0,ROUND('Graphics data'!AB$22,3)) &amp; "-"&amp; ROUND('Graphics data'!AB$20,3)&amp;"]"),"-")</f>
        <v>-</v>
      </c>
      <c r="K20" s="215"/>
    </row>
    <row r="21" spans="1:11" ht="15.75" customHeight="1">
      <c r="A21"/>
      <c r="B21" s="1113"/>
      <c r="C21" s="1114"/>
      <c r="D21" s="1101" t="s">
        <v>1629</v>
      </c>
      <c r="E21" s="1101"/>
      <c r="F21" s="257"/>
      <c r="G21" s="257"/>
      <c r="H21" s="341" t="str">
        <f>IFERROR("["&amp; ROUND('Graphics data'!Z$21,3) &amp; "-"&amp; ROUND('Graphics data'!Z$23,3)&amp;"]","-")</f>
        <v>-</v>
      </c>
      <c r="I21" s="341" t="str">
        <f>IFERROR("["&amp; ROUND('Graphics data'!AA$21,3) &amp; "-"&amp; ROUND('Graphics data'!AA$23,3)&amp;"]","-")</f>
        <v>-</v>
      </c>
      <c r="J21" s="341" t="str">
        <f>IFERROR("["&amp; ROUND('Graphics data'!AB$21,3) &amp; "-"&amp; ROUND('Graphics data'!AB$23,3)&amp;"]","-")</f>
        <v>-</v>
      </c>
      <c r="K21" s="215"/>
    </row>
    <row r="22" spans="1:11" ht="30" customHeight="1">
      <c r="A22"/>
      <c r="B22" s="842" t="str">
        <f>IF($D11="modulated","* When modulation applies, these figures are only indicative as they will be updated annually on the basis of the methodology described in 5.2.1.2.a below."&amp;" The pivot values for year n have to be notified to the EC by 1 January n.","")</f>
        <v/>
      </c>
      <c r="C22" s="842"/>
      <c r="D22" s="842"/>
      <c r="E22" s="842"/>
      <c r="F22" s="842"/>
      <c r="G22" s="842"/>
      <c r="H22" s="842"/>
      <c r="I22" s="842"/>
      <c r="J22" s="842"/>
    </row>
    <row r="23" spans="1:11">
      <c r="A23"/>
      <c r="C23" s="58"/>
      <c r="D23" s="53"/>
      <c r="E23" s="53"/>
      <c r="F23" s="57"/>
      <c r="G23" s="53"/>
      <c r="H23" s="53"/>
      <c r="I23" s="53"/>
      <c r="J23" s="43"/>
    </row>
    <row r="24" spans="1:11">
      <c r="A24"/>
      <c r="C24" s="58"/>
      <c r="D24"/>
      <c r="E24"/>
      <c r="F24"/>
      <c r="G24"/>
      <c r="H24"/>
      <c r="I24"/>
      <c r="J24"/>
    </row>
    <row r="25" spans="1:11">
      <c r="A25"/>
      <c r="B25" s="53"/>
      <c r="C25" s="53"/>
      <c r="D25"/>
      <c r="E25"/>
      <c r="F25"/>
      <c r="G25"/>
      <c r="H25"/>
      <c r="I25"/>
      <c r="J25"/>
    </row>
    <row r="26" spans="1:11">
      <c r="A26"/>
      <c r="B26"/>
      <c r="C26"/>
      <c r="D26"/>
      <c r="E26"/>
      <c r="F26"/>
      <c r="G26"/>
      <c r="H26"/>
      <c r="I26"/>
      <c r="J26"/>
    </row>
    <row r="27" spans="1:11">
      <c r="A27"/>
      <c r="B27"/>
      <c r="C27"/>
      <c r="D27"/>
      <c r="E27"/>
      <c r="F27"/>
      <c r="G27"/>
      <c r="H27"/>
      <c r="I27"/>
      <c r="J27"/>
    </row>
    <row r="28" spans="1:11">
      <c r="A28"/>
      <c r="B28"/>
      <c r="C28"/>
      <c r="D28"/>
      <c r="E28"/>
      <c r="F28"/>
      <c r="G28"/>
      <c r="H28"/>
      <c r="I28"/>
      <c r="J28"/>
    </row>
    <row r="29" spans="1:11">
      <c r="A29"/>
      <c r="B29"/>
      <c r="C29"/>
      <c r="D29"/>
      <c r="E29"/>
      <c r="F29"/>
      <c r="G29"/>
      <c r="H29"/>
      <c r="I29"/>
      <c r="J29"/>
    </row>
    <row r="30" spans="1:11">
      <c r="A30"/>
      <c r="B30"/>
      <c r="C30"/>
      <c r="D30"/>
      <c r="E30"/>
      <c r="F30"/>
      <c r="G30"/>
      <c r="H30"/>
      <c r="I30"/>
      <c r="J30"/>
    </row>
    <row r="31" spans="1:11">
      <c r="A31"/>
      <c r="B31"/>
      <c r="C31"/>
      <c r="D31"/>
      <c r="E31"/>
      <c r="F31"/>
      <c r="G31"/>
      <c r="H31"/>
      <c r="I31"/>
      <c r="J31"/>
    </row>
    <row r="32" spans="1:11">
      <c r="A32"/>
      <c r="B32"/>
      <c r="C32"/>
      <c r="D32"/>
      <c r="E32"/>
      <c r="F32"/>
      <c r="G32"/>
      <c r="H32"/>
      <c r="I32"/>
      <c r="J32"/>
    </row>
    <row r="33" spans="1:11">
      <c r="A33"/>
      <c r="B33"/>
      <c r="C33"/>
      <c r="D33"/>
      <c r="E33"/>
      <c r="F33"/>
      <c r="G33"/>
      <c r="H33"/>
      <c r="I33"/>
      <c r="J33"/>
    </row>
    <row r="34" spans="1:11">
      <c r="A34"/>
      <c r="B34"/>
      <c r="C34"/>
      <c r="D34"/>
      <c r="E34"/>
      <c r="F34"/>
      <c r="G34"/>
      <c r="H34"/>
      <c r="I34"/>
      <c r="J34"/>
    </row>
    <row r="35" spans="1:11">
      <c r="A35"/>
      <c r="B35"/>
      <c r="C35"/>
      <c r="D35"/>
      <c r="E35"/>
      <c r="F35"/>
      <c r="G35"/>
      <c r="H35"/>
      <c r="I35"/>
      <c r="J35"/>
    </row>
    <row r="36" spans="1:11">
      <c r="A36"/>
      <c r="B36"/>
      <c r="C36"/>
      <c r="D36"/>
      <c r="E36"/>
      <c r="F36"/>
      <c r="G36"/>
      <c r="H36"/>
      <c r="I36"/>
      <c r="J36"/>
    </row>
    <row r="37" spans="1:11">
      <c r="A37"/>
      <c r="B37"/>
      <c r="C37"/>
      <c r="D37"/>
      <c r="E37"/>
      <c r="F37"/>
      <c r="G37"/>
      <c r="H37"/>
      <c r="I37"/>
      <c r="J37"/>
    </row>
    <row r="38" spans="1:11" ht="15" customHeight="1">
      <c r="A38"/>
      <c r="B38"/>
      <c r="C38"/>
      <c r="D38"/>
      <c r="E38"/>
      <c r="F38"/>
      <c r="G38"/>
      <c r="H38"/>
      <c r="I38"/>
      <c r="J38"/>
    </row>
    <row r="39" spans="1:11">
      <c r="A39"/>
      <c r="B39"/>
      <c r="C39"/>
      <c r="D39" s="53"/>
      <c r="E39" s="53"/>
      <c r="F39" s="53"/>
      <c r="G39" s="53"/>
      <c r="H39" s="53"/>
      <c r="I39" s="53"/>
      <c r="J39" s="43"/>
    </row>
    <row r="40" spans="1:11" ht="30" customHeight="1">
      <c r="A40"/>
      <c r="B40"/>
      <c r="C40"/>
      <c r="D40"/>
      <c r="E40"/>
      <c r="F40"/>
      <c r="G40"/>
      <c r="H40"/>
      <c r="I40"/>
      <c r="J40"/>
    </row>
    <row r="41" spans="1:11">
      <c r="A41"/>
      <c r="B41" s="53"/>
      <c r="C41" s="53"/>
      <c r="K41" s="43"/>
    </row>
    <row r="42" spans="1:11" ht="39" customHeight="1">
      <c r="A42"/>
      <c r="B42"/>
      <c r="C42"/>
      <c r="D42"/>
      <c r="E42"/>
      <c r="F42"/>
      <c r="G42"/>
      <c r="H42"/>
      <c r="I42"/>
      <c r="J42"/>
    </row>
    <row r="43" spans="1:11" ht="30" customHeight="1">
      <c r="A43"/>
      <c r="B43" s="302" t="s">
        <v>1410</v>
      </c>
    </row>
    <row r="44" spans="1:11" ht="30" customHeight="1">
      <c r="A44"/>
      <c r="B44" s="654" t="s">
        <v>409</v>
      </c>
      <c r="C44" s="655"/>
      <c r="D44" s="655"/>
      <c r="E44" s="655"/>
      <c r="F44" s="655"/>
      <c r="G44" s="655"/>
      <c r="H44" s="655"/>
      <c r="I44" s="655"/>
      <c r="J44" s="655"/>
      <c r="K44" s="215"/>
    </row>
    <row r="45" spans="1:11" ht="95.1" customHeight="1">
      <c r="A45"/>
      <c r="B45" s="999"/>
      <c r="C45" s="657"/>
      <c r="D45" s="657"/>
      <c r="E45" s="657"/>
      <c r="F45" s="657"/>
      <c r="G45" s="657"/>
      <c r="H45" s="657"/>
      <c r="I45" s="657"/>
      <c r="J45" s="657"/>
      <c r="K45" s="215"/>
    </row>
    <row r="46" spans="1:11">
      <c r="A46"/>
      <c r="B46" s="300" t="s">
        <v>1207</v>
      </c>
      <c r="C46" s="152"/>
      <c r="D46" s="152"/>
      <c r="E46" s="152"/>
      <c r="F46" s="152"/>
      <c r="G46" s="152"/>
      <c r="H46" s="152"/>
      <c r="I46" s="152"/>
      <c r="J46" s="152"/>
    </row>
    <row r="47" spans="1:11">
      <c r="A47"/>
      <c r="B47"/>
      <c r="C47"/>
      <c r="D47"/>
      <c r="E47"/>
      <c r="F47"/>
      <c r="G47"/>
      <c r="H47"/>
      <c r="I47"/>
      <c r="J47"/>
    </row>
    <row r="48" spans="1:11" hidden="1">
      <c r="A48"/>
      <c r="B48" s="654" t="s">
        <v>408</v>
      </c>
      <c r="C48" s="655"/>
      <c r="D48" s="655"/>
      <c r="E48" s="655"/>
      <c r="F48" s="655"/>
      <c r="G48" s="655"/>
      <c r="H48" s="655"/>
      <c r="I48" s="655"/>
      <c r="J48" s="655"/>
      <c r="K48" s="301"/>
    </row>
    <row r="49" spans="1:11" ht="30" hidden="1" customHeight="1">
      <c r="A49"/>
      <c r="B49" s="774" t="s">
        <v>400</v>
      </c>
      <c r="C49" s="774"/>
      <c r="D49" s="774"/>
      <c r="E49" s="774"/>
      <c r="F49" s="774"/>
      <c r="G49" s="774"/>
      <c r="H49" s="774"/>
      <c r="I49" s="774"/>
      <c r="J49" s="156" t="s">
        <v>396</v>
      </c>
      <c r="K49" s="215"/>
    </row>
    <row r="50" spans="1:11" ht="45" hidden="1" customHeight="1">
      <c r="A50"/>
      <c r="B50" s="1098"/>
      <c r="C50" s="1098"/>
      <c r="D50" s="1098"/>
      <c r="E50" s="1098"/>
      <c r="F50" s="1098"/>
      <c r="G50" s="1098"/>
      <c r="H50" s="1098"/>
      <c r="I50" s="1098"/>
      <c r="J50" s="1098"/>
      <c r="K50" s="215"/>
    </row>
    <row r="51" spans="1:11" ht="45" hidden="1" customHeight="1">
      <c r="A51"/>
      <c r="B51" s="774" t="s">
        <v>1388</v>
      </c>
      <c r="C51" s="774"/>
      <c r="D51" s="774"/>
      <c r="E51" s="774"/>
      <c r="F51" s="774"/>
      <c r="G51" s="774"/>
      <c r="H51" s="774"/>
      <c r="I51" s="774"/>
      <c r="J51" s="156" t="s">
        <v>396</v>
      </c>
      <c r="K51" s="215"/>
    </row>
    <row r="52" spans="1:11" ht="40.5" hidden="1" customHeight="1">
      <c r="A52"/>
      <c r="B52" s="1098"/>
      <c r="C52" s="1098"/>
      <c r="D52" s="1098"/>
      <c r="E52" s="1098"/>
      <c r="F52" s="1098"/>
      <c r="G52" s="1098"/>
      <c r="H52" s="1098"/>
      <c r="I52" s="1098"/>
      <c r="J52" s="1098"/>
      <c r="K52" s="215"/>
    </row>
    <row r="53" spans="1:11" ht="15" hidden="1" customHeight="1">
      <c r="A53"/>
      <c r="B53" s="300" t="s">
        <v>1207</v>
      </c>
      <c r="C53" s="152"/>
      <c r="D53" s="152"/>
      <c r="E53" s="152"/>
      <c r="F53" s="152"/>
      <c r="G53" s="152"/>
      <c r="H53" s="152"/>
      <c r="I53" s="152"/>
      <c r="J53" s="152"/>
      <c r="K53" s="43"/>
    </row>
    <row r="54" spans="1:11" ht="15" customHeight="1">
      <c r="A54"/>
      <c r="B54"/>
      <c r="C54"/>
      <c r="D54"/>
      <c r="E54"/>
      <c r="F54"/>
      <c r="G54"/>
      <c r="H54"/>
      <c r="I54"/>
      <c r="J54"/>
    </row>
    <row r="55" spans="1:11">
      <c r="A55"/>
      <c r="B55"/>
      <c r="C55"/>
      <c r="D55"/>
      <c r="E55"/>
      <c r="F55"/>
      <c r="G55"/>
      <c r="H55"/>
      <c r="I55"/>
      <c r="J55"/>
    </row>
    <row r="56" spans="1:11" ht="30" customHeight="1">
      <c r="A56"/>
      <c r="B56"/>
      <c r="C56"/>
      <c r="D56"/>
      <c r="E56"/>
      <c r="F56"/>
      <c r="G56"/>
      <c r="H56"/>
      <c r="I56"/>
      <c r="J56"/>
      <c r="K56" s="43"/>
    </row>
    <row r="57" spans="1:11" ht="40.5" customHeight="1">
      <c r="A57"/>
      <c r="B57"/>
      <c r="C57"/>
      <c r="D57"/>
      <c r="E57"/>
      <c r="F57"/>
      <c r="G57"/>
      <c r="H57"/>
      <c r="I57"/>
      <c r="J57"/>
    </row>
    <row r="58" spans="1:11" ht="30" customHeight="1">
      <c r="A58"/>
      <c r="B58"/>
      <c r="C58"/>
      <c r="D58"/>
      <c r="E58"/>
      <c r="F58"/>
      <c r="G58"/>
      <c r="H58"/>
      <c r="I58"/>
      <c r="J58"/>
    </row>
    <row r="59" spans="1:11">
      <c r="A59"/>
      <c r="B59"/>
      <c r="C59"/>
      <c r="D59"/>
      <c r="E59"/>
      <c r="F59"/>
      <c r="G59"/>
      <c r="H59"/>
      <c r="I59"/>
      <c r="J59"/>
    </row>
    <row r="60" spans="1:11">
      <c r="A60"/>
      <c r="B60"/>
      <c r="C60"/>
      <c r="J60"/>
    </row>
    <row r="61" spans="1:11">
      <c r="A61"/>
      <c r="B61"/>
      <c r="C61"/>
      <c r="F61"/>
      <c r="G61"/>
      <c r="H61"/>
      <c r="J61"/>
    </row>
    <row r="62" spans="1:11" ht="15" customHeight="1">
      <c r="A62"/>
      <c r="J62"/>
    </row>
    <row r="63" spans="1:11" ht="30" customHeight="1">
      <c r="A63"/>
      <c r="B63" s="44"/>
      <c r="C63" s="44"/>
    </row>
    <row r="64" spans="1:11" ht="40.5" customHeight="1">
      <c r="A64"/>
      <c r="B64" s="44"/>
      <c r="C64" s="4"/>
      <c r="D64" s="4"/>
      <c r="E64" s="4"/>
      <c r="F64" s="4"/>
      <c r="G64" s="4"/>
      <c r="H64" s="4"/>
      <c r="I64" s="4"/>
      <c r="J64" s="4"/>
    </row>
    <row r="65" spans="1:37" ht="30" customHeight="1">
      <c r="A65"/>
    </row>
    <row r="66" spans="1:37">
      <c r="A66"/>
      <c r="B66" s="4"/>
      <c r="C66" s="4"/>
      <c r="K66"/>
      <c r="L66"/>
      <c r="M66"/>
      <c r="N66"/>
      <c r="O66"/>
      <c r="P66"/>
      <c r="Q66"/>
      <c r="R66"/>
      <c r="S66"/>
      <c r="T66"/>
      <c r="U66"/>
      <c r="V66"/>
      <c r="W66"/>
      <c r="X66"/>
      <c r="Y66"/>
    </row>
    <row r="67" spans="1:37">
      <c r="A67"/>
      <c r="D67"/>
      <c r="E67"/>
      <c r="F67"/>
      <c r="G67"/>
      <c r="H67"/>
      <c r="J67"/>
      <c r="K67"/>
      <c r="L67"/>
      <c r="M67"/>
      <c r="N67"/>
      <c r="O67"/>
      <c r="P67"/>
      <c r="Q67"/>
      <c r="R67"/>
      <c r="S67"/>
      <c r="T67"/>
      <c r="U67"/>
      <c r="V67"/>
      <c r="W67"/>
      <c r="X67"/>
      <c r="Y67"/>
    </row>
    <row r="68" spans="1:37">
      <c r="A68"/>
      <c r="D68"/>
      <c r="E68"/>
      <c r="F68"/>
      <c r="G68"/>
      <c r="H68"/>
      <c r="J68"/>
      <c r="K68"/>
      <c r="L68"/>
      <c r="M68"/>
      <c r="N68"/>
      <c r="O68"/>
      <c r="P68"/>
      <c r="Q68"/>
      <c r="R68"/>
      <c r="S68"/>
      <c r="T68"/>
      <c r="U68"/>
      <c r="V68"/>
      <c r="W68"/>
      <c r="X68"/>
      <c r="Y68"/>
    </row>
    <row r="69" spans="1:37">
      <c r="A69"/>
      <c r="B69"/>
      <c r="C69"/>
      <c r="D69"/>
      <c r="E69"/>
      <c r="F69"/>
      <c r="G69"/>
      <c r="H69"/>
      <c r="I69" s="4"/>
      <c r="J69"/>
      <c r="K69"/>
      <c r="L69"/>
      <c r="M69"/>
      <c r="N69"/>
      <c r="O69"/>
      <c r="P69" s="54"/>
      <c r="Q69"/>
      <c r="R69"/>
      <c r="S69"/>
      <c r="T69"/>
      <c r="U69"/>
      <c r="V69"/>
      <c r="W69"/>
      <c r="X69"/>
      <c r="Y69"/>
    </row>
    <row r="70" spans="1:37" s="4" customFormat="1">
      <c r="A70"/>
      <c r="B70"/>
      <c r="C70"/>
      <c r="D70"/>
      <c r="E70"/>
      <c r="F70"/>
      <c r="G70"/>
      <c r="H70"/>
      <c r="I70" s="16"/>
      <c r="J70"/>
      <c r="K70"/>
      <c r="L70"/>
      <c r="M70"/>
      <c r="N70"/>
      <c r="O70"/>
      <c r="P70"/>
      <c r="Q70"/>
      <c r="R70"/>
      <c r="S70"/>
      <c r="T70"/>
      <c r="U70"/>
      <c r="V70"/>
      <c r="W70"/>
      <c r="X70"/>
      <c r="Y70"/>
    </row>
    <row r="71" spans="1:37">
      <c r="A71"/>
      <c r="C71"/>
      <c r="D71"/>
      <c r="E71"/>
      <c r="F71"/>
      <c r="G71"/>
      <c r="H71"/>
      <c r="J71"/>
      <c r="K71"/>
      <c r="L71"/>
      <c r="M71"/>
      <c r="N71"/>
      <c r="O71"/>
      <c r="P71"/>
      <c r="Q71"/>
      <c r="R71"/>
      <c r="S71"/>
      <c r="T71"/>
      <c r="U71"/>
      <c r="V71"/>
      <c r="W71"/>
      <c r="X71"/>
      <c r="Y71"/>
    </row>
    <row r="72" spans="1:37">
      <c r="A72"/>
      <c r="B72"/>
      <c r="C72"/>
      <c r="D72"/>
      <c r="E72"/>
      <c r="F72"/>
      <c r="G72"/>
      <c r="H72"/>
      <c r="J72"/>
      <c r="K72"/>
      <c r="L72"/>
      <c r="M72"/>
      <c r="N72"/>
      <c r="O72"/>
      <c r="P72"/>
      <c r="Q72"/>
      <c r="R72"/>
      <c r="S72"/>
      <c r="T72"/>
      <c r="U72"/>
      <c r="V72"/>
      <c r="W72"/>
      <c r="X72"/>
      <c r="Y72"/>
    </row>
    <row r="73" spans="1:37">
      <c r="A73"/>
      <c r="B73"/>
      <c r="C73"/>
      <c r="D73"/>
      <c r="E73"/>
      <c r="F73"/>
      <c r="G73"/>
      <c r="H73"/>
      <c r="J73"/>
      <c r="K73"/>
      <c r="L73"/>
      <c r="M73"/>
      <c r="N73"/>
      <c r="O73"/>
      <c r="P73"/>
      <c r="Q73"/>
      <c r="R73"/>
      <c r="S73"/>
      <c r="T73"/>
      <c r="U73"/>
      <c r="V73"/>
      <c r="W73"/>
      <c r="X73"/>
      <c r="Y73"/>
    </row>
    <row r="74" spans="1:37">
      <c r="A74"/>
      <c r="B74"/>
      <c r="C74"/>
      <c r="D74"/>
      <c r="E74"/>
      <c r="F74"/>
      <c r="G74"/>
      <c r="H74"/>
      <c r="J74"/>
      <c r="K74"/>
      <c r="L74"/>
      <c r="M74"/>
      <c r="N74"/>
      <c r="O74"/>
      <c r="P74"/>
      <c r="Q74"/>
      <c r="R74"/>
      <c r="S74"/>
      <c r="T74"/>
      <c r="U74"/>
      <c r="V74"/>
      <c r="W74"/>
      <c r="X74"/>
      <c r="Y74"/>
      <c r="Z74"/>
      <c r="AA74"/>
      <c r="AB74"/>
      <c r="AC74"/>
      <c r="AD74"/>
      <c r="AE74" s="47"/>
      <c r="AI74" s="47"/>
      <c r="AJ74" s="47"/>
      <c r="AK74" s="47"/>
    </row>
    <row r="75" spans="1:37">
      <c r="A75"/>
      <c r="B75"/>
      <c r="C75"/>
      <c r="D75"/>
      <c r="E75"/>
      <c r="F75"/>
      <c r="G75"/>
      <c r="H75"/>
      <c r="J75"/>
      <c r="K75"/>
      <c r="L75"/>
      <c r="M75"/>
      <c r="N75"/>
      <c r="O75"/>
      <c r="P75"/>
      <c r="Q75"/>
      <c r="R75"/>
      <c r="S75"/>
      <c r="T75"/>
      <c r="U75"/>
      <c r="V75"/>
      <c r="W75"/>
      <c r="X75"/>
      <c r="Y75"/>
      <c r="Z75"/>
      <c r="AA75"/>
      <c r="AB75"/>
      <c r="AC75"/>
      <c r="AD75"/>
    </row>
    <row r="76" spans="1:37">
      <c r="A76"/>
      <c r="B76"/>
      <c r="C76"/>
      <c r="D76"/>
      <c r="E76"/>
      <c r="F76"/>
      <c r="G76"/>
      <c r="H76"/>
      <c r="J76"/>
      <c r="K76"/>
      <c r="L76"/>
      <c r="M76"/>
      <c r="N76"/>
      <c r="O76"/>
      <c r="P76"/>
      <c r="Q76"/>
      <c r="R76"/>
      <c r="S76"/>
      <c r="T76"/>
      <c r="U76"/>
      <c r="V76"/>
      <c r="W76"/>
      <c r="X76"/>
      <c r="Y76"/>
      <c r="Z76"/>
      <c r="AA76"/>
      <c r="AB76"/>
      <c r="AC76"/>
      <c r="AD76"/>
    </row>
    <row r="77" spans="1:37">
      <c r="A77"/>
      <c r="B77"/>
      <c r="C77"/>
      <c r="D77"/>
      <c r="J77"/>
      <c r="K77"/>
      <c r="L77"/>
      <c r="M77"/>
      <c r="N77"/>
      <c r="O77"/>
      <c r="P77"/>
      <c r="Q77"/>
      <c r="R77"/>
      <c r="S77"/>
      <c r="T77"/>
      <c r="U77"/>
      <c r="V77"/>
      <c r="W77"/>
      <c r="X77"/>
      <c r="Y77"/>
      <c r="Z77"/>
      <c r="AA77"/>
      <c r="AB77"/>
      <c r="AC77"/>
      <c r="AD77"/>
    </row>
    <row r="78" spans="1:37">
      <c r="A78"/>
      <c r="B78"/>
      <c r="C78"/>
      <c r="D78"/>
      <c r="J78"/>
      <c r="K78"/>
      <c r="L78"/>
      <c r="M78"/>
      <c r="N78"/>
      <c r="O78"/>
      <c r="P78"/>
      <c r="Q78"/>
      <c r="R78"/>
      <c r="S78"/>
      <c r="T78"/>
      <c r="U78"/>
      <c r="V78"/>
      <c r="W78"/>
      <c r="X78"/>
      <c r="Y78"/>
      <c r="Z78"/>
      <c r="AA78"/>
      <c r="AB78"/>
      <c r="AC78"/>
      <c r="AD78"/>
    </row>
    <row r="79" spans="1:37">
      <c r="A79"/>
      <c r="B79"/>
      <c r="C79"/>
      <c r="D79"/>
      <c r="J79"/>
      <c r="K79"/>
      <c r="L79"/>
      <c r="M79"/>
      <c r="N79"/>
      <c r="O79"/>
      <c r="P79"/>
      <c r="Q79"/>
      <c r="R79"/>
      <c r="S79"/>
      <c r="T79"/>
      <c r="U79"/>
      <c r="V79"/>
      <c r="W79"/>
      <c r="X79"/>
      <c r="Y79"/>
      <c r="Z79"/>
      <c r="AA79"/>
      <c r="AB79"/>
      <c r="AC79"/>
      <c r="AD79"/>
    </row>
    <row r="80" spans="1:37">
      <c r="A80"/>
      <c r="B80"/>
      <c r="C80"/>
      <c r="D80"/>
      <c r="J80"/>
      <c r="K80"/>
      <c r="L80"/>
      <c r="M80"/>
      <c r="N80"/>
      <c r="O80"/>
      <c r="P80"/>
      <c r="Q80"/>
      <c r="R80"/>
      <c r="S80"/>
      <c r="T80"/>
      <c r="U80"/>
      <c r="V80"/>
      <c r="W80"/>
      <c r="X80"/>
      <c r="Y80"/>
      <c r="Z80"/>
      <c r="AA80"/>
      <c r="AB80"/>
      <c r="AC80"/>
      <c r="AD80"/>
    </row>
    <row r="81" spans="1:25">
      <c r="A81"/>
      <c r="B81"/>
      <c r="C81"/>
      <c r="D81"/>
      <c r="J81"/>
      <c r="K81"/>
      <c r="L81"/>
      <c r="M81"/>
      <c r="N81"/>
      <c r="O81"/>
      <c r="P81"/>
      <c r="Q81"/>
      <c r="R81"/>
      <c r="S81"/>
      <c r="T81"/>
      <c r="U81"/>
      <c r="V81"/>
      <c r="W81"/>
      <c r="X81"/>
      <c r="Y81"/>
    </row>
    <row r="82" spans="1:25">
      <c r="A82"/>
      <c r="B82"/>
      <c r="C82"/>
      <c r="D82"/>
      <c r="J82"/>
      <c r="K82"/>
      <c r="L82"/>
      <c r="M82"/>
      <c r="N82"/>
      <c r="O82"/>
      <c r="P82"/>
      <c r="Q82"/>
      <c r="R82"/>
      <c r="S82"/>
      <c r="T82"/>
      <c r="U82"/>
      <c r="V82"/>
      <c r="W82"/>
      <c r="X82"/>
      <c r="Y82"/>
    </row>
    <row r="83" spans="1:25">
      <c r="A83"/>
      <c r="B83"/>
      <c r="C83"/>
      <c r="D83"/>
      <c r="J83"/>
      <c r="K83"/>
      <c r="L83"/>
      <c r="M83"/>
      <c r="N83"/>
      <c r="O83"/>
      <c r="P83"/>
      <c r="Q83"/>
      <c r="R83"/>
      <c r="S83"/>
      <c r="T83"/>
      <c r="U83"/>
      <c r="V83"/>
      <c r="W83"/>
      <c r="X83"/>
      <c r="Y83"/>
    </row>
    <row r="84" spans="1:25">
      <c r="A84"/>
      <c r="B84"/>
      <c r="C84"/>
      <c r="D84"/>
      <c r="J84"/>
      <c r="K84"/>
      <c r="L84"/>
      <c r="M84"/>
      <c r="N84"/>
      <c r="O84"/>
      <c r="P84"/>
      <c r="Q84"/>
      <c r="R84"/>
      <c r="S84"/>
      <c r="T84"/>
      <c r="U84"/>
      <c r="V84"/>
      <c r="W84"/>
      <c r="X84"/>
      <c r="Y84"/>
    </row>
    <row r="85" spans="1:25">
      <c r="A85"/>
      <c r="B85"/>
      <c r="C85"/>
      <c r="D85"/>
      <c r="J85"/>
      <c r="K85"/>
      <c r="L85"/>
      <c r="M85"/>
      <c r="N85"/>
      <c r="O85"/>
      <c r="P85"/>
      <c r="Q85"/>
      <c r="R85"/>
      <c r="S85"/>
      <c r="T85"/>
      <c r="U85"/>
      <c r="V85"/>
      <c r="W85"/>
      <c r="X85"/>
      <c r="Y85"/>
    </row>
    <row r="86" spans="1:25">
      <c r="A86"/>
      <c r="B86"/>
      <c r="C86"/>
      <c r="J86"/>
      <c r="K86"/>
      <c r="L86"/>
      <c r="M86"/>
      <c r="N86"/>
      <c r="O86"/>
      <c r="P86"/>
      <c r="Q86"/>
      <c r="R86"/>
      <c r="S86"/>
      <c r="T86"/>
      <c r="U86"/>
      <c r="V86"/>
      <c r="W86"/>
      <c r="X86"/>
      <c r="Y86"/>
    </row>
    <row r="87" spans="1:25">
      <c r="A87"/>
      <c r="B87"/>
      <c r="C87"/>
      <c r="J87"/>
      <c r="K87"/>
      <c r="L87"/>
      <c r="M87"/>
      <c r="N87"/>
      <c r="O87"/>
      <c r="P87"/>
      <c r="Q87"/>
      <c r="R87"/>
      <c r="S87"/>
      <c r="T87"/>
      <c r="U87"/>
      <c r="V87"/>
      <c r="W87"/>
      <c r="X87"/>
      <c r="Y87"/>
    </row>
    <row r="88" spans="1:25">
      <c r="A88"/>
      <c r="H88" s="46"/>
      <c r="J88"/>
      <c r="K88"/>
      <c r="L88"/>
      <c r="M88"/>
      <c r="N88"/>
      <c r="O88"/>
      <c r="P88"/>
      <c r="Q88"/>
      <c r="R88"/>
      <c r="S88"/>
      <c r="T88"/>
      <c r="U88"/>
      <c r="V88"/>
      <c r="W88"/>
      <c r="X88"/>
      <c r="Y88"/>
    </row>
    <row r="89" spans="1:25">
      <c r="A89"/>
      <c r="J89"/>
      <c r="K89"/>
      <c r="L89"/>
      <c r="M89"/>
      <c r="N89"/>
      <c r="O89"/>
      <c r="P89"/>
      <c r="Q89"/>
      <c r="R89"/>
      <c r="S89"/>
      <c r="T89"/>
      <c r="U89"/>
      <c r="V89"/>
      <c r="W89"/>
      <c r="X89"/>
      <c r="Y89"/>
    </row>
    <row r="90" spans="1:25">
      <c r="A90"/>
      <c r="J90"/>
      <c r="K90"/>
      <c r="L90"/>
      <c r="M90"/>
      <c r="N90"/>
      <c r="O90"/>
      <c r="P90"/>
      <c r="Q90"/>
      <c r="R90"/>
      <c r="S90"/>
      <c r="T90"/>
      <c r="U90"/>
      <c r="V90"/>
      <c r="W90"/>
      <c r="X90"/>
      <c r="Y90"/>
    </row>
    <row r="91" spans="1:25">
      <c r="A91"/>
      <c r="K91"/>
      <c r="L91"/>
      <c r="M91"/>
      <c r="N91"/>
      <c r="O91"/>
      <c r="P91"/>
      <c r="Q91"/>
      <c r="R91"/>
      <c r="S91"/>
      <c r="T91"/>
      <c r="U91"/>
      <c r="V91"/>
      <c r="W91"/>
      <c r="X91"/>
      <c r="Y91"/>
    </row>
    <row r="92" spans="1:25">
      <c r="K92"/>
      <c r="L92"/>
      <c r="M92"/>
      <c r="N92"/>
      <c r="O92"/>
      <c r="P92"/>
      <c r="Q92"/>
      <c r="R92"/>
      <c r="S92"/>
      <c r="T92"/>
      <c r="U92"/>
      <c r="V92"/>
      <c r="W92"/>
      <c r="X92"/>
      <c r="Y92"/>
    </row>
    <row r="93" spans="1:25">
      <c r="K93"/>
      <c r="L93"/>
      <c r="M93"/>
      <c r="N93"/>
      <c r="O93"/>
      <c r="P93"/>
      <c r="Q93"/>
      <c r="R93"/>
      <c r="S93"/>
      <c r="T93"/>
      <c r="U93"/>
      <c r="V93"/>
      <c r="W93"/>
      <c r="X93"/>
      <c r="Y93"/>
    </row>
    <row r="94" spans="1:25">
      <c r="K94"/>
      <c r="L94"/>
      <c r="M94"/>
      <c r="N94"/>
      <c r="O94"/>
      <c r="P94"/>
      <c r="Q94"/>
      <c r="R94"/>
      <c r="S94"/>
      <c r="T94"/>
      <c r="U94"/>
      <c r="V94"/>
      <c r="W94"/>
      <c r="X94"/>
      <c r="Y94"/>
    </row>
    <row r="95" spans="1:25">
      <c r="K95"/>
      <c r="L95"/>
      <c r="M95"/>
      <c r="N95"/>
      <c r="O95"/>
      <c r="P95"/>
      <c r="Q95"/>
      <c r="R95"/>
      <c r="S95"/>
      <c r="T95"/>
      <c r="U95"/>
      <c r="V95"/>
      <c r="W95"/>
      <c r="X95"/>
      <c r="Y95"/>
    </row>
    <row r="96" spans="1:25">
      <c r="K96"/>
      <c r="L96"/>
      <c r="M96"/>
      <c r="N96"/>
      <c r="O96"/>
      <c r="P96"/>
      <c r="Q96"/>
      <c r="R96"/>
      <c r="S96"/>
      <c r="T96"/>
      <c r="U96"/>
      <c r="V96"/>
      <c r="W96"/>
      <c r="X96"/>
      <c r="Y96"/>
    </row>
  </sheetData>
  <sheetProtection formatCells="0" formatColumns="0" formatRows="0" insertHyperlinks="0"/>
  <mergeCells count="26">
    <mergeCell ref="D20:E20"/>
    <mergeCell ref="B51:I51"/>
    <mergeCell ref="B44:J44"/>
    <mergeCell ref="B45:J45"/>
    <mergeCell ref="D21:E21"/>
    <mergeCell ref="B19:C21"/>
    <mergeCell ref="B48:J48"/>
    <mergeCell ref="B49:I49"/>
    <mergeCell ref="B50:J50"/>
    <mergeCell ref="B22:J22"/>
    <mergeCell ref="B17:E17"/>
    <mergeCell ref="B52:J52"/>
    <mergeCell ref="E6:F6"/>
    <mergeCell ref="B7:C7"/>
    <mergeCell ref="E7:F7"/>
    <mergeCell ref="B8:C8"/>
    <mergeCell ref="E8:F8"/>
    <mergeCell ref="B9:C9"/>
    <mergeCell ref="E9:F9"/>
    <mergeCell ref="B10:C10"/>
    <mergeCell ref="E10:F10"/>
    <mergeCell ref="B11:C11"/>
    <mergeCell ref="E11:F11"/>
    <mergeCell ref="B16:E16"/>
    <mergeCell ref="B18:E18"/>
    <mergeCell ref="D19:E19"/>
  </mergeCells>
  <conditionalFormatting sqref="E7">
    <cfRule type="expression" dxfId="6" priority="24">
      <formula>$D$7="%"</formula>
    </cfRule>
    <cfRule type="expression" dxfId="5" priority="25">
      <formula>$D$7="fraction of min"</formula>
    </cfRule>
  </conditionalFormatting>
  <conditionalFormatting sqref="E9:F9">
    <cfRule type="expression" dxfId="4" priority="21">
      <formula>E9&gt;0.02=TRUE</formula>
    </cfRule>
  </conditionalFormatting>
  <conditionalFormatting sqref="E10:F10">
    <cfRule type="expression" dxfId="3" priority="20">
      <formula>E10&lt;E9=TRUE</formula>
    </cfRule>
  </conditionalFormatting>
  <conditionalFormatting sqref="D7 D11 J49 J51 H19:J21 H16:J17">
    <cfRule type="expression" dxfId="2" priority="15">
      <formula>$A$2="PRINT"</formula>
    </cfRule>
  </conditionalFormatting>
  <conditionalFormatting sqref="E7:F7">
    <cfRule type="expression" dxfId="1" priority="215">
      <formula>$M$7&lt;&gt;""</formula>
    </cfRule>
  </conditionalFormatting>
  <dataValidations count="6">
    <dataValidation allowBlank="1" showInputMessage="1" showErrorMessage="1" errorTitle="Invalid max bonus value" error="The max penalty cannot be lower than then max bonus." sqref="E10:F10" xr:uid="{00000000-0002-0000-3E00-000000000000}"/>
    <dataValidation allowBlank="1" showInputMessage="1" showErrorMessage="1" errorTitle="Invalid max bonus value" error="The max bonus cannot be higher than 2%" sqref="E9:F9" xr:uid="{00000000-0002-0000-3E00-000001000000}"/>
    <dataValidation type="list" allowBlank="1" showInputMessage="1" showErrorMessage="1" sqref="J49 J51" xr:uid="{00000000-0002-0000-3E00-000002000000}">
      <formula1>"Select,Yes,No"</formula1>
    </dataValidation>
    <dataValidation type="list" allowBlank="1" showInputMessage="1" showErrorMessage="1" sqref="D7" xr:uid="{00000000-0002-0000-3E00-000003000000}">
      <formula1>"Select,%,fraction of min"</formula1>
    </dataValidation>
    <dataValidation type="list" allowBlank="1" showInputMessage="1" showErrorMessage="1" sqref="D11" xr:uid="{00000000-0002-0000-3E00-000004000000}">
      <formula1>"Select,fixed,modulated"</formula1>
    </dataValidation>
    <dataValidation type="list" allowBlank="1" showDropDown="1" showInputMessage="1" showErrorMessage="1" error="This value is set as per Annex XIII, 2.2 of the Regulation." sqref="E8:F8" xr:uid="{00000000-0002-0000-3E00-000005000000}">
      <formula1>".5"</formula1>
    </dataValidation>
  </dataValidations>
  <pageMargins left="0.70866141732283472" right="0.70866141732283472" top="0.74803149606299213" bottom="0.74803149606299213" header="0.31496062992125984" footer="0.31496062992125984"/>
  <pageSetup paperSize="9" scale="62" fitToHeight="0" orientation="portrait" r:id="rId1"/>
  <headerFooter>
    <oddFooter>&amp;C&amp;P</oddFooter>
  </headerFooter>
  <drawing r:id="rId2"/>
  <picture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92">
    <tabColor theme="2" tint="-0.249977111117893"/>
    <pageSetUpPr fitToPage="1"/>
  </sheetPr>
  <dimension ref="A1:J138"/>
  <sheetViews>
    <sheetView showGridLines="0" zoomScaleNormal="100" workbookViewId="0">
      <selection activeCell="D143" sqref="D143"/>
    </sheetView>
  </sheetViews>
  <sheetFormatPr defaultColWidth="9.140625" defaultRowHeight="15"/>
  <cols>
    <col min="1" max="1" width="9.140625" style="3"/>
    <col min="2" max="2" width="15.7109375" style="3" customWidth="1"/>
    <col min="3" max="3" width="25.7109375" style="3" customWidth="1"/>
    <col min="4" max="4" width="15.7109375" style="3" customWidth="1"/>
    <col min="5" max="5" width="16.85546875" style="3" customWidth="1"/>
    <col min="6" max="6" width="8" style="3" customWidth="1"/>
    <col min="7" max="9" width="13.28515625" style="3" customWidth="1"/>
    <col min="10" max="10" width="1.7109375" style="16" customWidth="1"/>
    <col min="11" max="16384" width="9.140625" style="3"/>
  </cols>
  <sheetData>
    <row r="1" spans="1:10">
      <c r="A1" s="100" t="str">
        <f>IF(AND(ISNUMBER(D6),D6&gt;0),"","NO_PRINT")</f>
        <v>NO_PRINT</v>
      </c>
    </row>
    <row r="2" spans="1:10" ht="15.75" customHeight="1">
      <c r="A2" s="103"/>
      <c r="B2" s="42" t="s">
        <v>346</v>
      </c>
      <c r="C2" s="42"/>
      <c r="D2" s="42"/>
      <c r="E2" s="636"/>
      <c r="F2" s="636"/>
      <c r="G2" s="636"/>
      <c r="H2" s="1121"/>
      <c r="I2" s="1121"/>
    </row>
    <row r="3" spans="1:10">
      <c r="D3" s="97" t="str">
        <f>IF($D$4&gt;0.02,"The sum of the bonus for all optional incentives cannot be higher than 2%.","")</f>
        <v/>
      </c>
      <c r="I3" s="98" t="str">
        <f>IF($I$4&gt;0.04,"The sum of the penalties for all optional incentives cannot be higher than 4%.","")</f>
        <v/>
      </c>
    </row>
    <row r="4" spans="1:10" ht="30" customHeight="1">
      <c r="B4" s="1065" t="s">
        <v>352</v>
      </c>
      <c r="C4" s="1066"/>
      <c r="D4" s="362">
        <f>SUM(E13,E26,E39,E52,E65,E78,E91,E104,E117,E130)</f>
        <v>0</v>
      </c>
      <c r="F4" s="1065" t="s">
        <v>353</v>
      </c>
      <c r="G4" s="1120"/>
      <c r="H4" s="1066"/>
      <c r="I4" s="99">
        <f>SUM(E14,E27,E40,E53,E66,E79,E92,E105,E118,E131)</f>
        <v>0</v>
      </c>
    </row>
    <row r="6" spans="1:10" ht="15.75" customHeight="1">
      <c r="B6" s="1065" t="s">
        <v>354</v>
      </c>
      <c r="C6" s="1066"/>
      <c r="D6" s="1122">
        <v>0</v>
      </c>
      <c r="E6" s="1123"/>
      <c r="F6" s="1123"/>
      <c r="G6" s="1123"/>
      <c r="H6" s="1123"/>
      <c r="I6" s="1124"/>
    </row>
    <row r="7" spans="1:10">
      <c r="B7" s="17"/>
      <c r="C7" s="18"/>
      <c r="D7" s="18"/>
      <c r="E7" s="19"/>
      <c r="F7" s="19"/>
      <c r="G7" s="19"/>
      <c r="H7" s="19"/>
      <c r="I7" s="19"/>
    </row>
    <row r="8" spans="1:10" ht="15.75" hidden="1">
      <c r="B8" s="364" t="s">
        <v>355</v>
      </c>
      <c r="C8" s="56"/>
      <c r="D8" s="360" t="s">
        <v>1076</v>
      </c>
      <c r="E8" s="35" t="s">
        <v>930</v>
      </c>
      <c r="G8" s="360" t="s">
        <v>348</v>
      </c>
      <c r="H8" s="1118" t="s">
        <v>240</v>
      </c>
      <c r="I8" s="1119"/>
    </row>
    <row r="9" spans="1:10" hidden="1">
      <c r="B9" s="18"/>
      <c r="C9" s="18"/>
      <c r="D9" s="17"/>
      <c r="E9" s="19"/>
      <c r="F9" s="19"/>
      <c r="G9" s="19"/>
      <c r="H9" s="19"/>
      <c r="I9" s="19"/>
      <c r="J9" s="55"/>
    </row>
    <row r="10" spans="1:10" hidden="1">
      <c r="B10" s="1115" t="s">
        <v>356</v>
      </c>
      <c r="C10" s="1116"/>
      <c r="D10" s="1116"/>
      <c r="E10" s="1116"/>
      <c r="F10" s="1116"/>
      <c r="G10" s="1116"/>
      <c r="H10" s="1116"/>
      <c r="I10" s="1117"/>
    </row>
    <row r="11" spans="1:10" hidden="1">
      <c r="B11" s="1069" t="s">
        <v>1452</v>
      </c>
      <c r="C11" s="1069"/>
      <c r="D11" s="1069"/>
      <c r="E11" s="1070"/>
      <c r="F11" s="1070"/>
      <c r="G11" s="1070"/>
      <c r="H11" s="1070"/>
      <c r="I11" s="1070"/>
    </row>
    <row r="12" spans="1:10" ht="30" hidden="1" customHeight="1">
      <c r="B12" s="1069" t="s">
        <v>347</v>
      </c>
      <c r="C12" s="1069"/>
      <c r="D12" s="1069"/>
      <c r="E12" s="1070"/>
      <c r="F12" s="1070"/>
      <c r="G12" s="1070"/>
      <c r="H12" s="1070"/>
      <c r="I12" s="1070"/>
    </row>
    <row r="13" spans="1:10" hidden="1">
      <c r="B13" s="1069" t="s">
        <v>350</v>
      </c>
      <c r="C13" s="1069"/>
      <c r="D13" s="1069"/>
      <c r="E13" s="1070"/>
      <c r="F13" s="1070"/>
      <c r="G13" s="1070"/>
      <c r="H13" s="1070"/>
      <c r="I13" s="1070"/>
    </row>
    <row r="14" spans="1:10" hidden="1">
      <c r="B14" s="1069" t="s">
        <v>351</v>
      </c>
      <c r="C14" s="1069"/>
      <c r="D14" s="1069"/>
      <c r="E14" s="1070"/>
      <c r="F14" s="1070"/>
      <c r="G14" s="1070"/>
      <c r="H14" s="1070"/>
      <c r="I14" s="1070"/>
    </row>
    <row r="15" spans="1:10" ht="30" hidden="1" customHeight="1">
      <c r="B15" s="1069" t="s">
        <v>349</v>
      </c>
      <c r="C15" s="1069"/>
      <c r="D15" s="1069"/>
      <c r="E15" s="1070"/>
      <c r="F15" s="1070"/>
      <c r="G15" s="1070"/>
      <c r="H15" s="1070"/>
      <c r="I15" s="1070"/>
      <c r="J15" s="215"/>
    </row>
    <row r="16" spans="1:10" ht="30" hidden="1" customHeight="1">
      <c r="B16" s="1069" t="s">
        <v>37</v>
      </c>
      <c r="C16" s="1069"/>
      <c r="D16" s="1069"/>
      <c r="E16" s="1070"/>
      <c r="F16" s="1070"/>
      <c r="G16" s="1070"/>
      <c r="H16" s="1070"/>
      <c r="I16" s="1070"/>
      <c r="J16" s="297"/>
    </row>
    <row r="17" spans="2:10" hidden="1">
      <c r="B17" s="11"/>
      <c r="C17" s="11"/>
      <c r="D17" s="11"/>
      <c r="E17" s="11"/>
      <c r="F17" s="11"/>
      <c r="G17" s="11"/>
      <c r="H17" s="11"/>
      <c r="I17" s="366"/>
    </row>
    <row r="18" spans="2:10" hidden="1">
      <c r="B18" s="1071" t="s">
        <v>23</v>
      </c>
      <c r="C18" s="1071"/>
      <c r="D18" s="1071"/>
      <c r="E18" s="1071"/>
      <c r="F18" s="1071"/>
      <c r="G18" s="1071"/>
      <c r="H18" s="1071"/>
      <c r="I18" s="1071"/>
      <c r="J18" s="215"/>
    </row>
    <row r="19" spans="2:10" ht="75" hidden="1" customHeight="1">
      <c r="B19" s="1075"/>
      <c r="C19" s="1075"/>
      <c r="D19" s="1075"/>
      <c r="E19" s="1075"/>
      <c r="F19" s="1075"/>
      <c r="G19" s="1075"/>
      <c r="H19" s="1075"/>
      <c r="I19" s="1075"/>
      <c r="J19" s="215"/>
    </row>
    <row r="20" spans="2:10" hidden="1">
      <c r="I20" s="367"/>
    </row>
    <row r="21" spans="2:10" ht="15.75" hidden="1">
      <c r="B21" s="364" t="s">
        <v>921</v>
      </c>
      <c r="C21" s="56"/>
      <c r="D21" s="360" t="s">
        <v>402</v>
      </c>
      <c r="E21" s="35" t="s">
        <v>930</v>
      </c>
      <c r="G21" s="360" t="s">
        <v>348</v>
      </c>
      <c r="H21" s="1118" t="s">
        <v>240</v>
      </c>
      <c r="I21" s="1119"/>
    </row>
    <row r="22" spans="2:10" hidden="1">
      <c r="B22" s="18"/>
      <c r="C22" s="18"/>
      <c r="D22" s="17"/>
      <c r="E22" s="19"/>
      <c r="F22" s="19"/>
      <c r="G22" s="19"/>
      <c r="H22" s="19"/>
      <c r="I22" s="19"/>
    </row>
    <row r="23" spans="2:10" ht="15" hidden="1" customHeight="1">
      <c r="B23" s="1115" t="s">
        <v>1461</v>
      </c>
      <c r="C23" s="1116"/>
      <c r="D23" s="1116"/>
      <c r="E23" s="1116"/>
      <c r="F23" s="1116"/>
      <c r="G23" s="1116"/>
      <c r="H23" s="1116"/>
      <c r="I23" s="1117"/>
    </row>
    <row r="24" spans="2:10" ht="15" hidden="1" customHeight="1">
      <c r="B24" s="1069" t="s">
        <v>1452</v>
      </c>
      <c r="C24" s="1069"/>
      <c r="D24" s="1069"/>
      <c r="E24" s="1070"/>
      <c r="F24" s="1070"/>
      <c r="G24" s="1070"/>
      <c r="H24" s="1070"/>
      <c r="I24" s="1070"/>
    </row>
    <row r="25" spans="2:10" ht="30" hidden="1" customHeight="1">
      <c r="B25" s="1069" t="s">
        <v>347</v>
      </c>
      <c r="C25" s="1069"/>
      <c r="D25" s="1069"/>
      <c r="E25" s="1070"/>
      <c r="F25" s="1070"/>
      <c r="G25" s="1070"/>
      <c r="H25" s="1070"/>
      <c r="I25" s="1070"/>
    </row>
    <row r="26" spans="2:10" ht="15" hidden="1" customHeight="1">
      <c r="B26" s="1069" t="s">
        <v>350</v>
      </c>
      <c r="C26" s="1069"/>
      <c r="D26" s="1069"/>
      <c r="E26" s="1070"/>
      <c r="F26" s="1070"/>
      <c r="G26" s="1070"/>
      <c r="H26" s="1070"/>
      <c r="I26" s="1070"/>
    </row>
    <row r="27" spans="2:10" ht="15" hidden="1" customHeight="1">
      <c r="B27" s="1069" t="s">
        <v>351</v>
      </c>
      <c r="C27" s="1069"/>
      <c r="D27" s="1069"/>
      <c r="E27" s="1070"/>
      <c r="F27" s="1070"/>
      <c r="G27" s="1070"/>
      <c r="H27" s="1070"/>
      <c r="I27" s="1070"/>
    </row>
    <row r="28" spans="2:10" ht="30" hidden="1" customHeight="1">
      <c r="B28" s="1069" t="s">
        <v>349</v>
      </c>
      <c r="C28" s="1069"/>
      <c r="D28" s="1069"/>
      <c r="E28" s="1070"/>
      <c r="F28" s="1070"/>
      <c r="G28" s="1070"/>
      <c r="H28" s="1070"/>
      <c r="I28" s="1070"/>
    </row>
    <row r="29" spans="2:10" ht="30" hidden="1" customHeight="1">
      <c r="B29" s="1069" t="s">
        <v>37</v>
      </c>
      <c r="C29" s="1069"/>
      <c r="D29" s="1069"/>
      <c r="E29" s="1070"/>
      <c r="F29" s="1070"/>
      <c r="G29" s="1070"/>
      <c r="H29" s="1070"/>
      <c r="I29" s="1070"/>
    </row>
    <row r="30" spans="2:10" hidden="1">
      <c r="B30" s="11"/>
      <c r="C30" s="11"/>
      <c r="D30" s="11"/>
      <c r="E30" s="11"/>
      <c r="F30" s="11"/>
      <c r="G30" s="11"/>
      <c r="H30" s="11"/>
      <c r="I30" s="11"/>
    </row>
    <row r="31" spans="2:10" ht="15" hidden="1" customHeight="1">
      <c r="B31" s="1071" t="s">
        <v>23</v>
      </c>
      <c r="C31" s="1071"/>
      <c r="D31" s="1071"/>
      <c r="E31" s="1071"/>
      <c r="F31" s="1071"/>
      <c r="G31" s="1071"/>
      <c r="H31" s="1071"/>
      <c r="I31" s="1071"/>
    </row>
    <row r="32" spans="2:10" ht="75" hidden="1" customHeight="1">
      <c r="B32" s="1075"/>
      <c r="C32" s="1075"/>
      <c r="D32" s="1075"/>
      <c r="E32" s="1075"/>
      <c r="F32" s="1075"/>
      <c r="G32" s="1075"/>
      <c r="H32" s="1075"/>
      <c r="I32" s="1075"/>
    </row>
    <row r="33" spans="2:10" hidden="1"/>
    <row r="34" spans="2:10" ht="15.75" hidden="1">
      <c r="B34" s="364" t="s">
        <v>922</v>
      </c>
      <c r="C34" s="56"/>
      <c r="D34" s="360" t="s">
        <v>402</v>
      </c>
      <c r="E34" s="35" t="s">
        <v>930</v>
      </c>
      <c r="G34" s="360" t="s">
        <v>348</v>
      </c>
      <c r="H34" s="1118" t="s">
        <v>240</v>
      </c>
      <c r="I34" s="1119"/>
    </row>
    <row r="35" spans="2:10" hidden="1">
      <c r="B35" s="18"/>
      <c r="C35" s="18"/>
      <c r="D35" s="17"/>
      <c r="E35" s="19"/>
      <c r="F35" s="19"/>
      <c r="G35" s="19"/>
      <c r="H35" s="19"/>
      <c r="I35" s="19"/>
    </row>
    <row r="36" spans="2:10" ht="15" hidden="1" customHeight="1">
      <c r="B36" s="1115" t="s">
        <v>1460</v>
      </c>
      <c r="C36" s="1116"/>
      <c r="D36" s="1116"/>
      <c r="E36" s="1116"/>
      <c r="F36" s="1116"/>
      <c r="G36" s="1116"/>
      <c r="H36" s="1116"/>
      <c r="I36" s="1117"/>
    </row>
    <row r="37" spans="2:10" ht="15" hidden="1" customHeight="1">
      <c r="B37" s="1069" t="s">
        <v>1452</v>
      </c>
      <c r="C37" s="1069"/>
      <c r="D37" s="1069"/>
      <c r="E37" s="1070"/>
      <c r="F37" s="1070"/>
      <c r="G37" s="1070"/>
      <c r="H37" s="1070"/>
      <c r="I37" s="1070"/>
    </row>
    <row r="38" spans="2:10" ht="30" hidden="1" customHeight="1">
      <c r="B38" s="1069" t="s">
        <v>347</v>
      </c>
      <c r="C38" s="1069"/>
      <c r="D38" s="1069"/>
      <c r="E38" s="1070"/>
      <c r="F38" s="1070"/>
      <c r="G38" s="1070"/>
      <c r="H38" s="1070"/>
      <c r="I38" s="1070"/>
    </row>
    <row r="39" spans="2:10" ht="15" hidden="1" customHeight="1">
      <c r="B39" s="1069" t="s">
        <v>350</v>
      </c>
      <c r="C39" s="1069"/>
      <c r="D39" s="1069"/>
      <c r="E39" s="1070"/>
      <c r="F39" s="1070"/>
      <c r="G39" s="1070"/>
      <c r="H39" s="1070"/>
      <c r="I39" s="1070"/>
    </row>
    <row r="40" spans="2:10" ht="15" hidden="1" customHeight="1">
      <c r="B40" s="1069" t="s">
        <v>351</v>
      </c>
      <c r="C40" s="1069"/>
      <c r="D40" s="1069"/>
      <c r="E40" s="1070"/>
      <c r="F40" s="1070"/>
      <c r="G40" s="1070"/>
      <c r="H40" s="1070"/>
      <c r="I40" s="1070"/>
      <c r="J40" s="43"/>
    </row>
    <row r="41" spans="2:10" ht="30" hidden="1" customHeight="1">
      <c r="B41" s="1069" t="s">
        <v>349</v>
      </c>
      <c r="C41" s="1069"/>
      <c r="D41" s="1069"/>
      <c r="E41" s="1070"/>
      <c r="F41" s="1070"/>
      <c r="G41" s="1070"/>
      <c r="H41" s="1070"/>
      <c r="I41" s="1070"/>
    </row>
    <row r="42" spans="2:10" ht="30" hidden="1" customHeight="1">
      <c r="B42" s="1069" t="s">
        <v>37</v>
      </c>
      <c r="C42" s="1069"/>
      <c r="D42" s="1069"/>
      <c r="E42" s="1070"/>
      <c r="F42" s="1070"/>
      <c r="G42" s="1070"/>
      <c r="H42" s="1070"/>
      <c r="I42" s="1070"/>
    </row>
    <row r="43" spans="2:10" hidden="1">
      <c r="B43" s="11"/>
      <c r="C43" s="11"/>
      <c r="D43" s="11"/>
      <c r="E43" s="11"/>
      <c r="F43" s="11"/>
      <c r="G43" s="11"/>
      <c r="H43" s="11"/>
      <c r="I43" s="11"/>
      <c r="J43" s="215"/>
    </row>
    <row r="44" spans="2:10" ht="15" hidden="1" customHeight="1">
      <c r="B44" s="1071" t="s">
        <v>23</v>
      </c>
      <c r="C44" s="1071"/>
      <c r="D44" s="1071"/>
      <c r="E44" s="1071"/>
      <c r="F44" s="1071"/>
      <c r="G44" s="1071"/>
      <c r="H44" s="1071"/>
      <c r="I44" s="1071"/>
      <c r="J44" s="215"/>
    </row>
    <row r="45" spans="2:10" ht="75" hidden="1" customHeight="1">
      <c r="B45" s="1075"/>
      <c r="C45" s="1075"/>
      <c r="D45" s="1075"/>
      <c r="E45" s="1075"/>
      <c r="F45" s="1075"/>
      <c r="G45" s="1075"/>
      <c r="H45" s="1075"/>
      <c r="I45" s="1075"/>
    </row>
    <row r="46" spans="2:10" hidden="1"/>
    <row r="47" spans="2:10" ht="15.75" hidden="1">
      <c r="B47" s="364" t="s">
        <v>923</v>
      </c>
      <c r="C47" s="56"/>
      <c r="D47" s="360" t="s">
        <v>402</v>
      </c>
      <c r="E47" s="35" t="s">
        <v>930</v>
      </c>
      <c r="G47" s="360" t="s">
        <v>348</v>
      </c>
      <c r="H47" s="1118" t="s">
        <v>240</v>
      </c>
      <c r="I47" s="1119"/>
      <c r="J47" s="301"/>
    </row>
    <row r="48" spans="2:10" hidden="1">
      <c r="B48" s="18"/>
      <c r="C48" s="18"/>
      <c r="D48" s="17"/>
      <c r="E48" s="19"/>
      <c r="F48" s="19"/>
      <c r="G48" s="19"/>
      <c r="H48" s="19"/>
      <c r="I48" s="19"/>
      <c r="J48" s="215"/>
    </row>
    <row r="49" spans="2:10" ht="15" hidden="1" customHeight="1">
      <c r="B49" s="1115" t="s">
        <v>1459</v>
      </c>
      <c r="C49" s="1116"/>
      <c r="D49" s="1116"/>
      <c r="E49" s="1116"/>
      <c r="F49" s="1116"/>
      <c r="G49" s="1116"/>
      <c r="H49" s="1116"/>
      <c r="I49" s="1117"/>
      <c r="J49" s="215"/>
    </row>
    <row r="50" spans="2:10" ht="15" hidden="1" customHeight="1">
      <c r="B50" s="1069" t="s">
        <v>1452</v>
      </c>
      <c r="C50" s="1069"/>
      <c r="D50" s="1069"/>
      <c r="E50" s="1070"/>
      <c r="F50" s="1070"/>
      <c r="G50" s="1070"/>
      <c r="H50" s="1070"/>
      <c r="I50" s="1070"/>
      <c r="J50" s="215"/>
    </row>
    <row r="51" spans="2:10" ht="30" hidden="1" customHeight="1">
      <c r="B51" s="1069" t="s">
        <v>347</v>
      </c>
      <c r="C51" s="1069"/>
      <c r="D51" s="1069"/>
      <c r="E51" s="1070"/>
      <c r="F51" s="1070"/>
      <c r="G51" s="1070"/>
      <c r="H51" s="1070"/>
      <c r="I51" s="1070"/>
      <c r="J51" s="215"/>
    </row>
    <row r="52" spans="2:10" ht="15" hidden="1" customHeight="1">
      <c r="B52" s="1069" t="s">
        <v>350</v>
      </c>
      <c r="C52" s="1069"/>
      <c r="D52" s="1069"/>
      <c r="E52" s="1070"/>
      <c r="F52" s="1070"/>
      <c r="G52" s="1070"/>
      <c r="H52" s="1070"/>
      <c r="I52" s="1070"/>
      <c r="J52" s="43"/>
    </row>
    <row r="53" spans="2:10" ht="15" hidden="1" customHeight="1">
      <c r="B53" s="1069" t="s">
        <v>351</v>
      </c>
      <c r="C53" s="1069"/>
      <c r="D53" s="1069"/>
      <c r="E53" s="1070"/>
      <c r="F53" s="1070"/>
      <c r="G53" s="1070"/>
      <c r="H53" s="1070"/>
      <c r="I53" s="1070"/>
    </row>
    <row r="54" spans="2:10" ht="30" hidden="1" customHeight="1">
      <c r="B54" s="1069" t="s">
        <v>349</v>
      </c>
      <c r="C54" s="1069"/>
      <c r="D54" s="1069"/>
      <c r="E54" s="1070"/>
      <c r="F54" s="1070"/>
      <c r="G54" s="1070"/>
      <c r="H54" s="1070"/>
      <c r="I54" s="1070"/>
    </row>
    <row r="55" spans="2:10" ht="30" hidden="1" customHeight="1">
      <c r="B55" s="1069" t="s">
        <v>37</v>
      </c>
      <c r="C55" s="1069"/>
      <c r="D55" s="1069"/>
      <c r="E55" s="1070"/>
      <c r="F55" s="1070"/>
      <c r="G55" s="1070"/>
      <c r="H55" s="1070"/>
      <c r="I55" s="1070"/>
      <c r="J55" s="43"/>
    </row>
    <row r="56" spans="2:10" hidden="1">
      <c r="B56" s="11"/>
      <c r="C56" s="11"/>
      <c r="D56" s="11"/>
      <c r="E56" s="11"/>
      <c r="F56" s="11"/>
      <c r="G56" s="11"/>
      <c r="H56" s="11"/>
      <c r="I56" s="11"/>
    </row>
    <row r="57" spans="2:10" ht="15" hidden="1" customHeight="1">
      <c r="B57" s="1071" t="s">
        <v>23</v>
      </c>
      <c r="C57" s="1071"/>
      <c r="D57" s="1071"/>
      <c r="E57" s="1071"/>
      <c r="F57" s="1071"/>
      <c r="G57" s="1071"/>
      <c r="H57" s="1071"/>
      <c r="I57" s="1071"/>
    </row>
    <row r="58" spans="2:10" ht="75" hidden="1" customHeight="1">
      <c r="B58" s="1075"/>
      <c r="C58" s="1075"/>
      <c r="D58" s="1075"/>
      <c r="E58" s="1075"/>
      <c r="F58" s="1075"/>
      <c r="G58" s="1075"/>
      <c r="H58" s="1075"/>
      <c r="I58" s="1075"/>
    </row>
    <row r="59" spans="2:10" hidden="1"/>
    <row r="60" spans="2:10" ht="15.75" hidden="1">
      <c r="B60" s="364" t="s">
        <v>924</v>
      </c>
      <c r="C60" s="56"/>
      <c r="D60" s="360" t="s">
        <v>402</v>
      </c>
      <c r="E60" s="35" t="s">
        <v>930</v>
      </c>
      <c r="G60" s="360" t="s">
        <v>348</v>
      </c>
      <c r="H60" s="1118" t="s">
        <v>240</v>
      </c>
      <c r="I60" s="1119"/>
    </row>
    <row r="61" spans="2:10" hidden="1">
      <c r="B61" s="18"/>
      <c r="C61" s="18"/>
      <c r="D61" s="17"/>
      <c r="E61" s="19"/>
      <c r="F61" s="19"/>
      <c r="G61" s="19"/>
      <c r="H61" s="19"/>
      <c r="I61" s="19"/>
    </row>
    <row r="62" spans="2:10" ht="15" hidden="1" customHeight="1">
      <c r="B62" s="1115" t="s">
        <v>1457</v>
      </c>
      <c r="C62" s="1116"/>
      <c r="D62" s="1116"/>
      <c r="E62" s="1116"/>
      <c r="F62" s="1116"/>
      <c r="G62" s="1116"/>
      <c r="H62" s="1116"/>
      <c r="I62" s="1117"/>
    </row>
    <row r="63" spans="2:10" ht="15" hidden="1" customHeight="1">
      <c r="B63" s="1069" t="s">
        <v>1452</v>
      </c>
      <c r="C63" s="1069"/>
      <c r="D63" s="1069"/>
      <c r="E63" s="1070"/>
      <c r="F63" s="1070"/>
      <c r="G63" s="1070"/>
      <c r="H63" s="1070"/>
      <c r="I63" s="1070"/>
    </row>
    <row r="64" spans="2:10" ht="30" hidden="1" customHeight="1">
      <c r="B64" s="1069" t="s">
        <v>347</v>
      </c>
      <c r="C64" s="1069"/>
      <c r="D64" s="1069"/>
      <c r="E64" s="1070"/>
      <c r="F64" s="1070"/>
      <c r="G64" s="1070"/>
      <c r="H64" s="1070"/>
      <c r="I64" s="1070"/>
    </row>
    <row r="65" spans="2:10" ht="15" hidden="1" customHeight="1">
      <c r="B65" s="1069" t="s">
        <v>350</v>
      </c>
      <c r="C65" s="1069"/>
      <c r="D65" s="1069"/>
      <c r="E65" s="1070"/>
      <c r="F65" s="1070"/>
      <c r="G65" s="1070"/>
      <c r="H65" s="1070"/>
      <c r="I65" s="1070"/>
      <c r="J65"/>
    </row>
    <row r="66" spans="2:10" ht="15" hidden="1" customHeight="1">
      <c r="B66" s="1069" t="s">
        <v>351</v>
      </c>
      <c r="C66" s="1069"/>
      <c r="D66" s="1069"/>
      <c r="E66" s="1070"/>
      <c r="F66" s="1070"/>
      <c r="G66" s="1070"/>
      <c r="H66" s="1070"/>
      <c r="I66" s="1070"/>
      <c r="J66"/>
    </row>
    <row r="67" spans="2:10" ht="30" hidden="1" customHeight="1">
      <c r="B67" s="1069" t="s">
        <v>349</v>
      </c>
      <c r="C67" s="1069"/>
      <c r="D67" s="1069"/>
      <c r="E67" s="1070"/>
      <c r="F67" s="1070"/>
      <c r="G67" s="1070"/>
      <c r="H67" s="1070"/>
      <c r="I67" s="1070"/>
      <c r="J67"/>
    </row>
    <row r="68" spans="2:10" ht="30" hidden="1" customHeight="1">
      <c r="B68" s="1069" t="s">
        <v>37</v>
      </c>
      <c r="C68" s="1069"/>
      <c r="D68" s="1069"/>
      <c r="E68" s="1070"/>
      <c r="F68" s="1070"/>
      <c r="G68" s="1070"/>
      <c r="H68" s="1070"/>
      <c r="I68" s="1070"/>
      <c r="J68"/>
    </row>
    <row r="69" spans="2:10" hidden="1">
      <c r="B69" s="11"/>
      <c r="C69" s="11"/>
      <c r="D69" s="11"/>
      <c r="E69" s="11"/>
      <c r="F69" s="11"/>
      <c r="G69" s="11"/>
      <c r="H69" s="11"/>
      <c r="I69" s="11"/>
      <c r="J69"/>
    </row>
    <row r="70" spans="2:10" ht="15" hidden="1" customHeight="1">
      <c r="B70" s="1071" t="s">
        <v>23</v>
      </c>
      <c r="C70" s="1071"/>
      <c r="D70" s="1071"/>
      <c r="E70" s="1071"/>
      <c r="F70" s="1071"/>
      <c r="G70" s="1071"/>
      <c r="H70" s="1071"/>
      <c r="I70" s="1071"/>
      <c r="J70"/>
    </row>
    <row r="71" spans="2:10" ht="75" hidden="1" customHeight="1">
      <c r="B71" s="1075"/>
      <c r="C71" s="1075"/>
      <c r="D71" s="1075"/>
      <c r="E71" s="1075"/>
      <c r="F71" s="1075"/>
      <c r="G71" s="1075"/>
      <c r="H71" s="1075"/>
      <c r="I71" s="1075"/>
      <c r="J71"/>
    </row>
    <row r="72" spans="2:10" hidden="1">
      <c r="J72"/>
    </row>
    <row r="73" spans="2:10" ht="15.75" hidden="1">
      <c r="B73" s="364" t="s">
        <v>925</v>
      </c>
      <c r="C73" s="56"/>
      <c r="D73" s="360" t="s">
        <v>402</v>
      </c>
      <c r="E73" s="35" t="s">
        <v>930</v>
      </c>
      <c r="G73" s="360" t="s">
        <v>348</v>
      </c>
      <c r="H73" s="1118" t="s">
        <v>240</v>
      </c>
      <c r="I73" s="1119"/>
      <c r="J73"/>
    </row>
    <row r="74" spans="2:10" hidden="1">
      <c r="B74" s="18"/>
      <c r="C74" s="18"/>
      <c r="D74" s="17"/>
      <c r="E74" s="19"/>
      <c r="F74" s="19"/>
      <c r="G74" s="19"/>
      <c r="H74" s="19"/>
      <c r="I74" s="19"/>
      <c r="J74"/>
    </row>
    <row r="75" spans="2:10" ht="15" hidden="1" customHeight="1">
      <c r="B75" s="1115" t="s">
        <v>1458</v>
      </c>
      <c r="C75" s="1116"/>
      <c r="D75" s="1116"/>
      <c r="E75" s="1116"/>
      <c r="F75" s="1116"/>
      <c r="G75" s="1116"/>
      <c r="H75" s="1116"/>
      <c r="I75" s="1117"/>
      <c r="J75"/>
    </row>
    <row r="76" spans="2:10" ht="15" hidden="1" customHeight="1">
      <c r="B76" s="1069" t="s">
        <v>1452</v>
      </c>
      <c r="C76" s="1069"/>
      <c r="D76" s="1069"/>
      <c r="E76" s="1070"/>
      <c r="F76" s="1070"/>
      <c r="G76" s="1070"/>
      <c r="H76" s="1070"/>
      <c r="I76" s="1070"/>
      <c r="J76"/>
    </row>
    <row r="77" spans="2:10" ht="30" hidden="1" customHeight="1">
      <c r="B77" s="1069" t="s">
        <v>347</v>
      </c>
      <c r="C77" s="1069"/>
      <c r="D77" s="1069"/>
      <c r="E77" s="1070"/>
      <c r="F77" s="1070"/>
      <c r="G77" s="1070"/>
      <c r="H77" s="1070"/>
      <c r="I77" s="1070"/>
      <c r="J77"/>
    </row>
    <row r="78" spans="2:10" ht="15" hidden="1" customHeight="1">
      <c r="B78" s="1069" t="s">
        <v>350</v>
      </c>
      <c r="C78" s="1069"/>
      <c r="D78" s="1069"/>
      <c r="E78" s="1070"/>
      <c r="F78" s="1070"/>
      <c r="G78" s="1070"/>
      <c r="H78" s="1070"/>
      <c r="I78" s="1070"/>
      <c r="J78"/>
    </row>
    <row r="79" spans="2:10" ht="15" hidden="1" customHeight="1">
      <c r="B79" s="1069" t="s">
        <v>351</v>
      </c>
      <c r="C79" s="1069"/>
      <c r="D79" s="1069"/>
      <c r="E79" s="1070"/>
      <c r="F79" s="1070"/>
      <c r="G79" s="1070"/>
      <c r="H79" s="1070"/>
      <c r="I79" s="1070"/>
      <c r="J79"/>
    </row>
    <row r="80" spans="2:10" ht="30" hidden="1" customHeight="1">
      <c r="B80" s="1069" t="s">
        <v>349</v>
      </c>
      <c r="C80" s="1069"/>
      <c r="D80" s="1069"/>
      <c r="E80" s="1070"/>
      <c r="F80" s="1070"/>
      <c r="G80" s="1070"/>
      <c r="H80" s="1070"/>
      <c r="I80" s="1070"/>
      <c r="J80"/>
    </row>
    <row r="81" spans="2:10" ht="30" hidden="1" customHeight="1">
      <c r="B81" s="1069" t="s">
        <v>37</v>
      </c>
      <c r="C81" s="1069"/>
      <c r="D81" s="1069"/>
      <c r="E81" s="1070"/>
      <c r="F81" s="1070"/>
      <c r="G81" s="1070"/>
      <c r="H81" s="1070"/>
      <c r="I81" s="1070"/>
      <c r="J81"/>
    </row>
    <row r="82" spans="2:10" hidden="1">
      <c r="B82" s="11"/>
      <c r="C82" s="11"/>
      <c r="D82" s="11"/>
      <c r="E82" s="11"/>
      <c r="F82" s="11"/>
      <c r="G82" s="11"/>
      <c r="H82" s="11"/>
      <c r="I82" s="11"/>
      <c r="J82"/>
    </row>
    <row r="83" spans="2:10" ht="15" hidden="1" customHeight="1">
      <c r="B83" s="1071" t="s">
        <v>23</v>
      </c>
      <c r="C83" s="1071"/>
      <c r="D83" s="1071"/>
      <c r="E83" s="1071"/>
      <c r="F83" s="1071"/>
      <c r="G83" s="1071"/>
      <c r="H83" s="1071"/>
      <c r="I83" s="1071"/>
      <c r="J83"/>
    </row>
    <row r="84" spans="2:10" ht="75" hidden="1" customHeight="1">
      <c r="B84" s="1075"/>
      <c r="C84" s="1075"/>
      <c r="D84" s="1075"/>
      <c r="E84" s="1075"/>
      <c r="F84" s="1075"/>
      <c r="G84" s="1075"/>
      <c r="H84" s="1075"/>
      <c r="I84" s="1075"/>
      <c r="J84"/>
    </row>
    <row r="85" spans="2:10" hidden="1">
      <c r="J85"/>
    </row>
    <row r="86" spans="2:10" ht="15.75" hidden="1">
      <c r="B86" s="364" t="s">
        <v>926</v>
      </c>
      <c r="C86" s="56"/>
      <c r="D86" s="360" t="s">
        <v>402</v>
      </c>
      <c r="E86" s="35" t="s">
        <v>930</v>
      </c>
      <c r="G86" s="360" t="s">
        <v>348</v>
      </c>
      <c r="H86" s="1118" t="s">
        <v>240</v>
      </c>
      <c r="I86" s="1119"/>
      <c r="J86"/>
    </row>
    <row r="87" spans="2:10" hidden="1">
      <c r="B87" s="18"/>
      <c r="C87" s="18"/>
      <c r="D87" s="17"/>
      <c r="E87" s="19"/>
      <c r="F87" s="19"/>
      <c r="G87" s="19"/>
      <c r="H87" s="19"/>
      <c r="I87" s="19"/>
      <c r="J87"/>
    </row>
    <row r="88" spans="2:10" ht="15" hidden="1" customHeight="1">
      <c r="B88" s="1115" t="s">
        <v>1456</v>
      </c>
      <c r="C88" s="1116"/>
      <c r="D88" s="1116"/>
      <c r="E88" s="1116"/>
      <c r="F88" s="1116"/>
      <c r="G88" s="1116"/>
      <c r="H88" s="1116"/>
      <c r="I88" s="1117"/>
      <c r="J88"/>
    </row>
    <row r="89" spans="2:10" ht="15" hidden="1" customHeight="1">
      <c r="B89" s="1069" t="s">
        <v>1452</v>
      </c>
      <c r="C89" s="1069"/>
      <c r="D89" s="1069"/>
      <c r="E89" s="1070"/>
      <c r="F89" s="1070"/>
      <c r="G89" s="1070"/>
      <c r="H89" s="1070"/>
      <c r="I89" s="1070"/>
      <c r="J89"/>
    </row>
    <row r="90" spans="2:10" ht="30" hidden="1" customHeight="1">
      <c r="B90" s="1069" t="s">
        <v>347</v>
      </c>
      <c r="C90" s="1069"/>
      <c r="D90" s="1069"/>
      <c r="E90" s="1070"/>
      <c r="F90" s="1070"/>
      <c r="G90" s="1070"/>
      <c r="H90" s="1070"/>
      <c r="I90" s="1070"/>
      <c r="J90"/>
    </row>
    <row r="91" spans="2:10" ht="15" hidden="1" customHeight="1">
      <c r="B91" s="1069" t="s">
        <v>350</v>
      </c>
      <c r="C91" s="1069"/>
      <c r="D91" s="1069"/>
      <c r="E91" s="1070"/>
      <c r="F91" s="1070"/>
      <c r="G91" s="1070"/>
      <c r="H91" s="1070"/>
      <c r="I91" s="1070"/>
      <c r="J91"/>
    </row>
    <row r="92" spans="2:10" ht="15" hidden="1" customHeight="1">
      <c r="B92" s="1069" t="s">
        <v>351</v>
      </c>
      <c r="C92" s="1069"/>
      <c r="D92" s="1069"/>
      <c r="E92" s="1070"/>
      <c r="F92" s="1070"/>
      <c r="G92" s="1070"/>
      <c r="H92" s="1070"/>
      <c r="I92" s="1070"/>
      <c r="J92"/>
    </row>
    <row r="93" spans="2:10" ht="30" hidden="1" customHeight="1">
      <c r="B93" s="1069" t="s">
        <v>349</v>
      </c>
      <c r="C93" s="1069"/>
      <c r="D93" s="1069"/>
      <c r="E93" s="1070"/>
      <c r="F93" s="1070"/>
      <c r="G93" s="1070"/>
      <c r="H93" s="1070"/>
      <c r="I93" s="1070"/>
      <c r="J93"/>
    </row>
    <row r="94" spans="2:10" ht="30" hidden="1" customHeight="1">
      <c r="B94" s="1069" t="s">
        <v>37</v>
      </c>
      <c r="C94" s="1069"/>
      <c r="D94" s="1069"/>
      <c r="E94" s="1070"/>
      <c r="F94" s="1070"/>
      <c r="G94" s="1070"/>
      <c r="H94" s="1070"/>
      <c r="I94" s="1070"/>
      <c r="J94"/>
    </row>
    <row r="95" spans="2:10" hidden="1">
      <c r="B95" s="11"/>
      <c r="C95" s="11"/>
      <c r="D95" s="11"/>
      <c r="E95" s="11"/>
      <c r="F95" s="11"/>
      <c r="G95" s="11"/>
      <c r="H95" s="11"/>
      <c r="I95" s="11"/>
      <c r="J95"/>
    </row>
    <row r="96" spans="2:10" ht="15" hidden="1" customHeight="1">
      <c r="B96" s="1071" t="s">
        <v>23</v>
      </c>
      <c r="C96" s="1071"/>
      <c r="D96" s="1071"/>
      <c r="E96" s="1071"/>
      <c r="F96" s="1071"/>
      <c r="G96" s="1071"/>
      <c r="H96" s="1071"/>
      <c r="I96" s="1071"/>
    </row>
    <row r="97" spans="2:9" ht="75" hidden="1" customHeight="1">
      <c r="B97" s="1075"/>
      <c r="C97" s="1075"/>
      <c r="D97" s="1075"/>
      <c r="E97" s="1075"/>
      <c r="F97" s="1075"/>
      <c r="G97" s="1075"/>
      <c r="H97" s="1075"/>
      <c r="I97" s="1075"/>
    </row>
    <row r="98" spans="2:9" hidden="1"/>
    <row r="99" spans="2:9" ht="15.75" hidden="1">
      <c r="B99" s="364" t="s">
        <v>927</v>
      </c>
      <c r="C99" s="56"/>
      <c r="D99" s="360" t="s">
        <v>402</v>
      </c>
      <c r="E99" s="35" t="s">
        <v>930</v>
      </c>
      <c r="G99" s="360" t="s">
        <v>348</v>
      </c>
      <c r="H99" s="1118" t="s">
        <v>240</v>
      </c>
      <c r="I99" s="1119"/>
    </row>
    <row r="100" spans="2:9" hidden="1">
      <c r="B100" s="18"/>
      <c r="C100" s="18"/>
      <c r="D100" s="17"/>
      <c r="E100" s="19"/>
      <c r="F100" s="19"/>
      <c r="G100" s="19"/>
      <c r="H100" s="19"/>
      <c r="I100" s="19"/>
    </row>
    <row r="101" spans="2:9" ht="15" hidden="1" customHeight="1">
      <c r="B101" s="1115" t="s">
        <v>1455</v>
      </c>
      <c r="C101" s="1116"/>
      <c r="D101" s="1116"/>
      <c r="E101" s="1116"/>
      <c r="F101" s="1116"/>
      <c r="G101" s="1116"/>
      <c r="H101" s="1116"/>
      <c r="I101" s="1117"/>
    </row>
    <row r="102" spans="2:9" ht="15" hidden="1" customHeight="1">
      <c r="B102" s="1069" t="s">
        <v>1452</v>
      </c>
      <c r="C102" s="1069"/>
      <c r="D102" s="1069"/>
      <c r="E102" s="1070"/>
      <c r="F102" s="1070"/>
      <c r="G102" s="1070"/>
      <c r="H102" s="1070"/>
      <c r="I102" s="1070"/>
    </row>
    <row r="103" spans="2:9" ht="30" hidden="1" customHeight="1">
      <c r="B103" s="1069" t="s">
        <v>347</v>
      </c>
      <c r="C103" s="1069"/>
      <c r="D103" s="1069"/>
      <c r="E103" s="1070"/>
      <c r="F103" s="1070"/>
      <c r="G103" s="1070"/>
      <c r="H103" s="1070"/>
      <c r="I103" s="1070"/>
    </row>
    <row r="104" spans="2:9" ht="15" hidden="1" customHeight="1">
      <c r="B104" s="1069" t="s">
        <v>350</v>
      </c>
      <c r="C104" s="1069"/>
      <c r="D104" s="1069"/>
      <c r="E104" s="1070"/>
      <c r="F104" s="1070"/>
      <c r="G104" s="1070"/>
      <c r="H104" s="1070"/>
      <c r="I104" s="1070"/>
    </row>
    <row r="105" spans="2:9" ht="15" hidden="1" customHeight="1">
      <c r="B105" s="1069" t="s">
        <v>351</v>
      </c>
      <c r="C105" s="1069"/>
      <c r="D105" s="1069"/>
      <c r="E105" s="1070"/>
      <c r="F105" s="1070"/>
      <c r="G105" s="1070"/>
      <c r="H105" s="1070"/>
      <c r="I105" s="1070"/>
    </row>
    <row r="106" spans="2:9" ht="30" hidden="1" customHeight="1">
      <c r="B106" s="1069" t="s">
        <v>349</v>
      </c>
      <c r="C106" s="1069"/>
      <c r="D106" s="1069"/>
      <c r="E106" s="1070"/>
      <c r="F106" s="1070"/>
      <c r="G106" s="1070"/>
      <c r="H106" s="1070"/>
      <c r="I106" s="1070"/>
    </row>
    <row r="107" spans="2:9" ht="30" hidden="1" customHeight="1">
      <c r="B107" s="1069" t="s">
        <v>37</v>
      </c>
      <c r="C107" s="1069"/>
      <c r="D107" s="1069"/>
      <c r="E107" s="1070"/>
      <c r="F107" s="1070"/>
      <c r="G107" s="1070"/>
      <c r="H107" s="1070"/>
      <c r="I107" s="1070"/>
    </row>
    <row r="108" spans="2:9" hidden="1">
      <c r="B108" s="11"/>
      <c r="C108" s="11"/>
      <c r="D108" s="11"/>
      <c r="E108" s="11"/>
      <c r="F108" s="11"/>
      <c r="G108" s="11"/>
      <c r="H108" s="11"/>
      <c r="I108" s="11"/>
    </row>
    <row r="109" spans="2:9" ht="15" hidden="1" customHeight="1">
      <c r="B109" s="1071" t="s">
        <v>23</v>
      </c>
      <c r="C109" s="1071"/>
      <c r="D109" s="1071"/>
      <c r="E109" s="1071"/>
      <c r="F109" s="1071"/>
      <c r="G109" s="1071"/>
      <c r="H109" s="1071"/>
      <c r="I109" s="1071"/>
    </row>
    <row r="110" spans="2:9" ht="75" hidden="1" customHeight="1">
      <c r="B110" s="1075"/>
      <c r="C110" s="1075"/>
      <c r="D110" s="1075"/>
      <c r="E110" s="1075"/>
      <c r="F110" s="1075"/>
      <c r="G110" s="1075"/>
      <c r="H110" s="1075"/>
      <c r="I110" s="1075"/>
    </row>
    <row r="111" spans="2:9" hidden="1"/>
    <row r="112" spans="2:9" ht="15.75" hidden="1">
      <c r="B112" s="364" t="s">
        <v>928</v>
      </c>
      <c r="C112" s="56"/>
      <c r="D112" s="360" t="s">
        <v>402</v>
      </c>
      <c r="E112" s="35" t="s">
        <v>930</v>
      </c>
      <c r="G112" s="360" t="s">
        <v>348</v>
      </c>
      <c r="H112" s="1118" t="s">
        <v>240</v>
      </c>
      <c r="I112" s="1119"/>
    </row>
    <row r="113" spans="2:9" hidden="1">
      <c r="B113" s="18"/>
      <c r="C113" s="18"/>
      <c r="D113" s="17"/>
      <c r="E113" s="19"/>
      <c r="F113" s="19"/>
      <c r="G113" s="19"/>
      <c r="H113" s="19"/>
      <c r="I113" s="19"/>
    </row>
    <row r="114" spans="2:9" ht="15" hidden="1" customHeight="1">
      <c r="B114" s="1115" t="s">
        <v>1454</v>
      </c>
      <c r="C114" s="1116"/>
      <c r="D114" s="1116"/>
      <c r="E114" s="1116"/>
      <c r="F114" s="1116"/>
      <c r="G114" s="1116"/>
      <c r="H114" s="1116"/>
      <c r="I114" s="1117"/>
    </row>
    <row r="115" spans="2:9" ht="15" hidden="1" customHeight="1">
      <c r="B115" s="1069" t="s">
        <v>1452</v>
      </c>
      <c r="C115" s="1069"/>
      <c r="D115" s="1069"/>
      <c r="E115" s="1070"/>
      <c r="F115" s="1070"/>
      <c r="G115" s="1070"/>
      <c r="H115" s="1070"/>
      <c r="I115" s="1070"/>
    </row>
    <row r="116" spans="2:9" ht="30" hidden="1" customHeight="1">
      <c r="B116" s="1069" t="s">
        <v>347</v>
      </c>
      <c r="C116" s="1069"/>
      <c r="D116" s="1069"/>
      <c r="E116" s="1070"/>
      <c r="F116" s="1070"/>
      <c r="G116" s="1070"/>
      <c r="H116" s="1070"/>
      <c r="I116" s="1070"/>
    </row>
    <row r="117" spans="2:9" ht="15" hidden="1" customHeight="1">
      <c r="B117" s="1069" t="s">
        <v>350</v>
      </c>
      <c r="C117" s="1069"/>
      <c r="D117" s="1069"/>
      <c r="E117" s="1070"/>
      <c r="F117" s="1070"/>
      <c r="G117" s="1070"/>
      <c r="H117" s="1070"/>
      <c r="I117" s="1070"/>
    </row>
    <row r="118" spans="2:9" ht="15" hidden="1" customHeight="1">
      <c r="B118" s="1069" t="s">
        <v>351</v>
      </c>
      <c r="C118" s="1069"/>
      <c r="D118" s="1069"/>
      <c r="E118" s="1070"/>
      <c r="F118" s="1070"/>
      <c r="G118" s="1070"/>
      <c r="H118" s="1070"/>
      <c r="I118" s="1070"/>
    </row>
    <row r="119" spans="2:9" ht="30" hidden="1" customHeight="1">
      <c r="B119" s="1069" t="s">
        <v>349</v>
      </c>
      <c r="C119" s="1069"/>
      <c r="D119" s="1069"/>
      <c r="E119" s="1070"/>
      <c r="F119" s="1070"/>
      <c r="G119" s="1070"/>
      <c r="H119" s="1070"/>
      <c r="I119" s="1070"/>
    </row>
    <row r="120" spans="2:9" ht="30" hidden="1" customHeight="1">
      <c r="B120" s="1069" t="s">
        <v>37</v>
      </c>
      <c r="C120" s="1069"/>
      <c r="D120" s="1069"/>
      <c r="E120" s="1070"/>
      <c r="F120" s="1070"/>
      <c r="G120" s="1070"/>
      <c r="H120" s="1070"/>
      <c r="I120" s="1070"/>
    </row>
    <row r="121" spans="2:9" hidden="1">
      <c r="B121" s="11"/>
      <c r="C121" s="11"/>
      <c r="D121" s="11"/>
      <c r="E121" s="11"/>
      <c r="F121" s="11"/>
      <c r="G121" s="11"/>
      <c r="H121" s="11"/>
      <c r="I121" s="11"/>
    </row>
    <row r="122" spans="2:9" ht="15" hidden="1" customHeight="1">
      <c r="B122" s="1071" t="s">
        <v>23</v>
      </c>
      <c r="C122" s="1071"/>
      <c r="D122" s="1071"/>
      <c r="E122" s="1071"/>
      <c r="F122" s="1071"/>
      <c r="G122" s="1071"/>
      <c r="H122" s="1071"/>
      <c r="I122" s="1071"/>
    </row>
    <row r="123" spans="2:9" ht="75" hidden="1" customHeight="1">
      <c r="B123" s="1075"/>
      <c r="C123" s="1075"/>
      <c r="D123" s="1075"/>
      <c r="E123" s="1075"/>
      <c r="F123" s="1075"/>
      <c r="G123" s="1075"/>
      <c r="H123" s="1075"/>
      <c r="I123" s="1075"/>
    </row>
    <row r="124" spans="2:9" hidden="1"/>
    <row r="125" spans="2:9" ht="15.75" hidden="1">
      <c r="B125" s="364" t="s">
        <v>929</v>
      </c>
      <c r="C125" s="56"/>
      <c r="D125" s="360" t="s">
        <v>402</v>
      </c>
      <c r="E125" s="35" t="s">
        <v>930</v>
      </c>
      <c r="G125" s="360" t="s">
        <v>348</v>
      </c>
      <c r="H125" s="1118" t="s">
        <v>240</v>
      </c>
      <c r="I125" s="1119"/>
    </row>
    <row r="126" spans="2:9" hidden="1">
      <c r="B126" s="18"/>
      <c r="C126" s="18"/>
      <c r="D126" s="17"/>
      <c r="E126" s="19"/>
      <c r="F126" s="19"/>
      <c r="G126" s="19"/>
      <c r="H126" s="19"/>
      <c r="I126" s="19"/>
    </row>
    <row r="127" spans="2:9" ht="15" hidden="1" customHeight="1">
      <c r="B127" s="1115" t="s">
        <v>1453</v>
      </c>
      <c r="C127" s="1116"/>
      <c r="D127" s="1116"/>
      <c r="E127" s="1116"/>
      <c r="F127" s="1116"/>
      <c r="G127" s="1116"/>
      <c r="H127" s="1116"/>
      <c r="I127" s="1117"/>
    </row>
    <row r="128" spans="2:9" ht="15" hidden="1" customHeight="1">
      <c r="B128" s="1069" t="s">
        <v>1452</v>
      </c>
      <c r="C128" s="1069"/>
      <c r="D128" s="1069"/>
      <c r="E128" s="1070"/>
      <c r="F128" s="1070"/>
      <c r="G128" s="1070"/>
      <c r="H128" s="1070"/>
      <c r="I128" s="1070"/>
    </row>
    <row r="129" spans="2:9" ht="30" hidden="1" customHeight="1">
      <c r="B129" s="1069" t="s">
        <v>347</v>
      </c>
      <c r="C129" s="1069"/>
      <c r="D129" s="1069"/>
      <c r="E129" s="1070"/>
      <c r="F129" s="1070"/>
      <c r="G129" s="1070"/>
      <c r="H129" s="1070"/>
      <c r="I129" s="1070"/>
    </row>
    <row r="130" spans="2:9" ht="15" hidden="1" customHeight="1">
      <c r="B130" s="1069" t="s">
        <v>350</v>
      </c>
      <c r="C130" s="1069"/>
      <c r="D130" s="1069"/>
      <c r="E130" s="1070"/>
      <c r="F130" s="1070"/>
      <c r="G130" s="1070"/>
      <c r="H130" s="1070"/>
      <c r="I130" s="1070"/>
    </row>
    <row r="131" spans="2:9" ht="15" hidden="1" customHeight="1">
      <c r="B131" s="1069" t="s">
        <v>351</v>
      </c>
      <c r="C131" s="1069"/>
      <c r="D131" s="1069"/>
      <c r="E131" s="1070"/>
      <c r="F131" s="1070"/>
      <c r="G131" s="1070"/>
      <c r="H131" s="1070"/>
      <c r="I131" s="1070"/>
    </row>
    <row r="132" spans="2:9" ht="30" hidden="1" customHeight="1">
      <c r="B132" s="1069" t="s">
        <v>349</v>
      </c>
      <c r="C132" s="1069"/>
      <c r="D132" s="1069"/>
      <c r="E132" s="1070"/>
      <c r="F132" s="1070"/>
      <c r="G132" s="1070"/>
      <c r="H132" s="1070"/>
      <c r="I132" s="1070"/>
    </row>
    <row r="133" spans="2:9" ht="30" hidden="1" customHeight="1">
      <c r="B133" s="1069" t="s">
        <v>37</v>
      </c>
      <c r="C133" s="1069"/>
      <c r="D133" s="1069"/>
      <c r="E133" s="1070"/>
      <c r="F133" s="1070"/>
      <c r="G133" s="1070"/>
      <c r="H133" s="1070"/>
      <c r="I133" s="1070"/>
    </row>
    <row r="134" spans="2:9" hidden="1">
      <c r="B134" s="11"/>
      <c r="C134" s="11"/>
      <c r="D134" s="11"/>
      <c r="E134" s="11"/>
      <c r="F134" s="11"/>
      <c r="G134" s="11"/>
      <c r="H134" s="11"/>
      <c r="I134" s="11"/>
    </row>
    <row r="135" spans="2:9" ht="15" hidden="1" customHeight="1">
      <c r="B135" s="1071" t="s">
        <v>23</v>
      </c>
      <c r="C135" s="1071"/>
      <c r="D135" s="1071"/>
      <c r="E135" s="1071"/>
      <c r="F135" s="1071"/>
      <c r="G135" s="1071"/>
      <c r="H135" s="1071"/>
      <c r="I135" s="1071"/>
    </row>
    <row r="136" spans="2:9" ht="75" hidden="1" customHeight="1">
      <c r="B136" s="1075"/>
      <c r="C136" s="1075"/>
      <c r="D136" s="1075"/>
      <c r="E136" s="1075"/>
      <c r="F136" s="1075"/>
      <c r="G136" s="1075"/>
      <c r="H136" s="1075"/>
      <c r="I136" s="1075"/>
    </row>
    <row r="137" spans="2:9" hidden="1"/>
    <row r="138" spans="2:9">
      <c r="B138" s="17"/>
      <c r="C138" s="18"/>
      <c r="D138" s="18"/>
      <c r="E138" s="19"/>
      <c r="F138" s="19"/>
      <c r="G138" s="19"/>
      <c r="H138" s="19"/>
      <c r="I138" s="19"/>
    </row>
  </sheetData>
  <sheetProtection formatCells="0" formatColumns="0" formatRows="0" insertHyperlinks="0"/>
  <mergeCells count="166">
    <mergeCell ref="B135:I135"/>
    <mergeCell ref="B136:I136"/>
    <mergeCell ref="B131:D131"/>
    <mergeCell ref="E131:I131"/>
    <mergeCell ref="B132:D132"/>
    <mergeCell ref="E132:I132"/>
    <mergeCell ref="B133:D133"/>
    <mergeCell ref="E133:I133"/>
    <mergeCell ref="B127:I127"/>
    <mergeCell ref="B129:D129"/>
    <mergeCell ref="E129:I129"/>
    <mergeCell ref="B130:D130"/>
    <mergeCell ref="E130:I130"/>
    <mergeCell ref="B128:D128"/>
    <mergeCell ref="E128:I128"/>
    <mergeCell ref="B120:D120"/>
    <mergeCell ref="E120:I120"/>
    <mergeCell ref="B122:I122"/>
    <mergeCell ref="B123:I123"/>
    <mergeCell ref="H125:I125"/>
    <mergeCell ref="B117:D117"/>
    <mergeCell ref="E117:I117"/>
    <mergeCell ref="B118:D118"/>
    <mergeCell ref="E118:I118"/>
    <mergeCell ref="B119:D119"/>
    <mergeCell ref="E119:I119"/>
    <mergeCell ref="B109:I109"/>
    <mergeCell ref="B110:I110"/>
    <mergeCell ref="H112:I112"/>
    <mergeCell ref="B114:I114"/>
    <mergeCell ref="B116:D116"/>
    <mergeCell ref="E116:I116"/>
    <mergeCell ref="B105:D105"/>
    <mergeCell ref="E105:I105"/>
    <mergeCell ref="B106:D106"/>
    <mergeCell ref="E106:I106"/>
    <mergeCell ref="B107:D107"/>
    <mergeCell ref="E107:I107"/>
    <mergeCell ref="B115:D115"/>
    <mergeCell ref="E115:I115"/>
    <mergeCell ref="B101:I101"/>
    <mergeCell ref="B103:D103"/>
    <mergeCell ref="E103:I103"/>
    <mergeCell ref="B104:D104"/>
    <mergeCell ref="E104:I104"/>
    <mergeCell ref="B94:D94"/>
    <mergeCell ref="E94:I94"/>
    <mergeCell ref="B96:I96"/>
    <mergeCell ref="B97:I97"/>
    <mergeCell ref="H99:I99"/>
    <mergeCell ref="B102:D102"/>
    <mergeCell ref="E102:I102"/>
    <mergeCell ref="B91:D91"/>
    <mergeCell ref="E91:I91"/>
    <mergeCell ref="B92:D92"/>
    <mergeCell ref="E92:I92"/>
    <mergeCell ref="B93:D93"/>
    <mergeCell ref="E93:I93"/>
    <mergeCell ref="B83:I83"/>
    <mergeCell ref="B84:I84"/>
    <mergeCell ref="H86:I86"/>
    <mergeCell ref="B88:I88"/>
    <mergeCell ref="B90:D90"/>
    <mergeCell ref="E90:I90"/>
    <mergeCell ref="B89:D89"/>
    <mergeCell ref="E89:I89"/>
    <mergeCell ref="B79:D79"/>
    <mergeCell ref="E79:I79"/>
    <mergeCell ref="B80:D80"/>
    <mergeCell ref="E80:I80"/>
    <mergeCell ref="B81:D81"/>
    <mergeCell ref="E81:I81"/>
    <mergeCell ref="B75:I75"/>
    <mergeCell ref="B77:D77"/>
    <mergeCell ref="E77:I77"/>
    <mergeCell ref="B78:D78"/>
    <mergeCell ref="E78:I78"/>
    <mergeCell ref="B76:D76"/>
    <mergeCell ref="E76:I76"/>
    <mergeCell ref="B68:D68"/>
    <mergeCell ref="E68:I68"/>
    <mergeCell ref="B70:I70"/>
    <mergeCell ref="B71:I71"/>
    <mergeCell ref="H73:I73"/>
    <mergeCell ref="B65:D65"/>
    <mergeCell ref="E65:I65"/>
    <mergeCell ref="B66:D66"/>
    <mergeCell ref="E66:I66"/>
    <mergeCell ref="B67:D67"/>
    <mergeCell ref="E67:I67"/>
    <mergeCell ref="B57:I57"/>
    <mergeCell ref="B58:I58"/>
    <mergeCell ref="H60:I60"/>
    <mergeCell ref="B62:I62"/>
    <mergeCell ref="B64:D64"/>
    <mergeCell ref="E64:I64"/>
    <mergeCell ref="B53:D53"/>
    <mergeCell ref="E53:I53"/>
    <mergeCell ref="B54:D54"/>
    <mergeCell ref="E54:I54"/>
    <mergeCell ref="B55:D55"/>
    <mergeCell ref="E55:I55"/>
    <mergeCell ref="B63:D63"/>
    <mergeCell ref="E63:I63"/>
    <mergeCell ref="B49:I49"/>
    <mergeCell ref="B51:D51"/>
    <mergeCell ref="E51:I51"/>
    <mergeCell ref="B52:D52"/>
    <mergeCell ref="E52:I52"/>
    <mergeCell ref="B42:D42"/>
    <mergeCell ref="E42:I42"/>
    <mergeCell ref="B44:I44"/>
    <mergeCell ref="B45:I45"/>
    <mergeCell ref="H47:I47"/>
    <mergeCell ref="B50:D50"/>
    <mergeCell ref="E50:I50"/>
    <mergeCell ref="B39:D39"/>
    <mergeCell ref="E39:I39"/>
    <mergeCell ref="B40:D40"/>
    <mergeCell ref="E40:I40"/>
    <mergeCell ref="B41:D41"/>
    <mergeCell ref="E41:I41"/>
    <mergeCell ref="B31:I31"/>
    <mergeCell ref="B32:I32"/>
    <mergeCell ref="H34:I34"/>
    <mergeCell ref="B36:I36"/>
    <mergeCell ref="B38:D38"/>
    <mergeCell ref="E38:I38"/>
    <mergeCell ref="B37:D37"/>
    <mergeCell ref="E37:I37"/>
    <mergeCell ref="B4:C4"/>
    <mergeCell ref="F4:H4"/>
    <mergeCell ref="E2:G2"/>
    <mergeCell ref="H8:I8"/>
    <mergeCell ref="E13:I13"/>
    <mergeCell ref="B13:D13"/>
    <mergeCell ref="B14:D14"/>
    <mergeCell ref="B15:D15"/>
    <mergeCell ref="E15:I15"/>
    <mergeCell ref="H2:I2"/>
    <mergeCell ref="B6:C6"/>
    <mergeCell ref="D6:I6"/>
    <mergeCell ref="B16:D16"/>
    <mergeCell ref="E16:I16"/>
    <mergeCell ref="B18:I18"/>
    <mergeCell ref="B19:I19"/>
    <mergeCell ref="B10:I10"/>
    <mergeCell ref="B12:D12"/>
    <mergeCell ref="E12:I12"/>
    <mergeCell ref="E27:I27"/>
    <mergeCell ref="E29:I29"/>
    <mergeCell ref="B26:D26"/>
    <mergeCell ref="E26:I26"/>
    <mergeCell ref="B27:D27"/>
    <mergeCell ref="B28:D28"/>
    <mergeCell ref="E28:I28"/>
    <mergeCell ref="B29:D29"/>
    <mergeCell ref="E25:I25"/>
    <mergeCell ref="H21:I21"/>
    <mergeCell ref="B23:I23"/>
    <mergeCell ref="B25:D25"/>
    <mergeCell ref="E14:I14"/>
    <mergeCell ref="B11:D11"/>
    <mergeCell ref="E11:I11"/>
    <mergeCell ref="B24:D24"/>
    <mergeCell ref="E24:I24"/>
  </mergeCells>
  <conditionalFormatting sqref="D4 I4 D6:I6 E8 H8:I8 E21 H21:I21 E34 H34:I34 E47 H47:I47 E60 H60:I60 E73 H73:I73 E86 H86:I86 E99 H99:I99 E112 H112:I112 E125 H125:I125">
    <cfRule type="expression" dxfId="0" priority="1">
      <formula>$A$2="PRINT"</formula>
    </cfRule>
  </conditionalFormatting>
  <dataValidations count="3">
    <dataValidation type="list" allowBlank="1" showInputMessage="1" showErrorMessage="1" sqref="H112:I112 H21:I21 H34:I34 H47:I47 H60:I60 H73:I73 H86:I86 H99:I99 H125:I125 H8:I8" xr:uid="{00000000-0002-0000-3F00-000000000000}">
      <formula1>"Click to select,Enroute,Terminal"</formula1>
    </dataValidation>
    <dataValidation type="list" allowBlank="1" showErrorMessage="1" sqref="D6:I6" xr:uid="{00000000-0002-0000-3F00-000001000000}">
      <formula1>"Click to select,0,1,2,3,4,5,6,7,8,9,10"</formula1>
    </dataValidation>
    <dataValidation type="list" allowBlank="1" showInputMessage="1" showErrorMessage="1" sqref="E8 E21 E34 E47 E60 E73 E86 E99 E112 E125" xr:uid="{00000000-0002-0000-3F00-000002000000}">
      <formula1>"Select KPA,Capacity,Environment"</formula1>
    </dataValidation>
  </dataValidations>
  <pageMargins left="0.70866141732283472" right="0.70866141732283472" top="0.74803149606299213" bottom="0.74803149606299213" header="0.31496062992125984" footer="0.31496062992125984"/>
  <pageSetup paperSize="9" scale="70" fitToHeight="0" orientation="portrait" r:id="rId1"/>
  <headerFooter>
    <oddFooter>&amp;C&amp;P</oddFooter>
  </headerFooter>
  <drawing r:id="rId2"/>
  <picture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7">
    <tabColor theme="1"/>
    <pageSetUpPr fitToPage="1"/>
  </sheetPr>
  <dimension ref="A1:H20"/>
  <sheetViews>
    <sheetView showGridLines="0" zoomScaleNormal="100" workbookViewId="0">
      <selection activeCell="B2" sqref="B2:F2"/>
    </sheetView>
  </sheetViews>
  <sheetFormatPr defaultColWidth="9.140625" defaultRowHeight="15"/>
  <cols>
    <col min="1" max="1" width="9.140625" style="10"/>
    <col min="2" max="2" width="45.140625" style="10" customWidth="1"/>
    <col min="3" max="3" width="17.5703125" style="36" customWidth="1"/>
    <col min="4" max="4" width="17.7109375" style="37" customWidth="1"/>
    <col min="5" max="6" width="17.42578125" style="10" customWidth="1"/>
    <col min="7" max="16384" width="9.140625" style="10"/>
  </cols>
  <sheetData>
    <row r="1" spans="1:8" s="9" customFormat="1">
      <c r="A1" s="8"/>
      <c r="C1" s="36"/>
      <c r="D1" s="37"/>
    </row>
    <row r="2" spans="1:8" ht="21">
      <c r="A2" s="104"/>
      <c r="B2" s="621" t="s">
        <v>337</v>
      </c>
      <c r="C2" s="621"/>
      <c r="D2" s="621"/>
      <c r="E2" s="621"/>
      <c r="F2" s="621"/>
    </row>
    <row r="3" spans="1:8">
      <c r="B3" s="138"/>
      <c r="C3" s="139"/>
      <c r="D3" s="140"/>
      <c r="E3" s="138"/>
      <c r="F3" s="138"/>
    </row>
    <row r="4" spans="1:8">
      <c r="B4"/>
      <c r="C4"/>
      <c r="D4"/>
      <c r="E4"/>
      <c r="F4"/>
      <c r="G4"/>
      <c r="H4"/>
    </row>
    <row r="5" spans="1:8" ht="15" customHeight="1">
      <c r="B5" s="372" t="s">
        <v>378</v>
      </c>
      <c r="C5"/>
      <c r="D5"/>
      <c r="E5"/>
      <c r="F5"/>
      <c r="G5"/>
      <c r="H5"/>
    </row>
    <row r="6" spans="1:8">
      <c r="B6"/>
      <c r="C6"/>
      <c r="D6"/>
      <c r="E6"/>
      <c r="F6"/>
      <c r="G6"/>
      <c r="H6"/>
    </row>
    <row r="7" spans="1:8">
      <c r="B7" s="372" t="s">
        <v>379</v>
      </c>
      <c r="C7"/>
      <c r="D7"/>
      <c r="E7"/>
      <c r="F7"/>
      <c r="G7"/>
      <c r="H7"/>
    </row>
    <row r="8" spans="1:8" ht="30" customHeight="1">
      <c r="B8"/>
      <c r="C8"/>
      <c r="D8"/>
      <c r="E8"/>
      <c r="F8"/>
      <c r="G8"/>
      <c r="H8"/>
    </row>
    <row r="9" spans="1:8">
      <c r="B9"/>
      <c r="C9"/>
      <c r="D9"/>
      <c r="E9"/>
      <c r="F9"/>
      <c r="G9"/>
      <c r="H9"/>
    </row>
    <row r="10" spans="1:8">
      <c r="B10"/>
      <c r="C10"/>
      <c r="D10"/>
      <c r="E10"/>
      <c r="F10"/>
      <c r="G10"/>
      <c r="H10"/>
    </row>
    <row r="11" spans="1:8">
      <c r="B11"/>
      <c r="C11"/>
      <c r="D11"/>
      <c r="E11"/>
      <c r="F11"/>
      <c r="G11"/>
      <c r="H11"/>
    </row>
    <row r="12" spans="1:8">
      <c r="B12"/>
      <c r="C12"/>
      <c r="D12"/>
      <c r="E12"/>
      <c r="F12"/>
      <c r="G12"/>
      <c r="H12"/>
    </row>
    <row r="13" spans="1:8">
      <c r="B13"/>
      <c r="C13"/>
      <c r="D13"/>
      <c r="E13"/>
      <c r="F13"/>
      <c r="G13"/>
      <c r="H13"/>
    </row>
    <row r="14" spans="1:8">
      <c r="B14"/>
      <c r="C14"/>
      <c r="D14"/>
      <c r="E14"/>
      <c r="F14"/>
      <c r="G14"/>
      <c r="H14"/>
    </row>
    <row r="15" spans="1:8">
      <c r="B15"/>
      <c r="C15"/>
      <c r="D15"/>
      <c r="E15"/>
      <c r="F15"/>
      <c r="G15"/>
      <c r="H15"/>
    </row>
    <row r="16" spans="1:8">
      <c r="B16"/>
      <c r="C16"/>
      <c r="D16"/>
      <c r="E16"/>
      <c r="F16"/>
      <c r="G16"/>
      <c r="H16"/>
    </row>
    <row r="17" spans="2:8">
      <c r="B17"/>
      <c r="C17"/>
      <c r="D17"/>
      <c r="E17"/>
      <c r="F17"/>
      <c r="G17"/>
      <c r="H17"/>
    </row>
    <row r="18" spans="2:8">
      <c r="B18"/>
      <c r="C18"/>
      <c r="D18"/>
      <c r="E18"/>
      <c r="F18"/>
      <c r="G18"/>
      <c r="H18"/>
    </row>
    <row r="19" spans="2:8">
      <c r="B19"/>
      <c r="C19"/>
      <c r="D19"/>
      <c r="E19"/>
      <c r="F19"/>
      <c r="G19"/>
      <c r="H19"/>
    </row>
    <row r="20" spans="2:8">
      <c r="B20"/>
      <c r="C20"/>
      <c r="D20"/>
      <c r="E20"/>
      <c r="F20"/>
      <c r="G20"/>
      <c r="H20"/>
    </row>
  </sheetData>
  <sheetProtection formatCells="0" formatColumns="0" formatRows="0" insertHyperlinks="0"/>
  <mergeCells count="1">
    <mergeCell ref="B2:F2"/>
  </mergeCells>
  <hyperlinks>
    <hyperlink ref="B5" location="'6. Implementation'!B7" display="6.1 Monitoring of the implementation plan" xr:uid="{00000000-0004-0000-4000-000000000000}"/>
    <hyperlink ref="B7" location="'6. Implementation'!B12" display="6.2 Non-compliance with targets during the reference period" xr:uid="{00000000-0004-0000-4000-000001000000}"/>
  </hyperlink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picture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39">
    <tabColor theme="2" tint="-0.249977111117893"/>
    <pageSetUpPr fitToPage="1"/>
  </sheetPr>
  <dimension ref="A2:K32"/>
  <sheetViews>
    <sheetView showGridLines="0" topLeftCell="A13" zoomScale="110" zoomScaleNormal="110" workbookViewId="0">
      <selection activeCell="B7" sqref="B7:F7"/>
    </sheetView>
  </sheetViews>
  <sheetFormatPr defaultColWidth="9.140625" defaultRowHeight="15"/>
  <cols>
    <col min="1" max="1" width="9.140625" style="3"/>
    <col min="2" max="2" width="25.7109375" style="3" customWidth="1"/>
    <col min="3" max="6" width="22" style="3" customWidth="1"/>
    <col min="7" max="7" width="1.7109375" style="3" customWidth="1"/>
    <col min="8" max="16384" width="9.140625" style="3"/>
  </cols>
  <sheetData>
    <row r="2" spans="1:11" ht="21">
      <c r="A2" s="103"/>
      <c r="B2" s="120" t="s">
        <v>377</v>
      </c>
      <c r="C2" s="120"/>
      <c r="D2" s="120"/>
      <c r="E2" s="120"/>
      <c r="F2" s="120"/>
    </row>
    <row r="3" spans="1:11">
      <c r="B3" s="237"/>
      <c r="C3" s="237"/>
      <c r="D3" s="237"/>
      <c r="E3" s="237"/>
      <c r="F3" s="237"/>
    </row>
    <row r="4" spans="1:11" ht="15.75" customHeight="1">
      <c r="A4" s="6"/>
      <c r="B4" s="42" t="s">
        <v>378</v>
      </c>
      <c r="C4" s="42"/>
      <c r="D4" s="42"/>
      <c r="E4" s="31"/>
      <c r="F4" s="31"/>
      <c r="G4" s="31"/>
      <c r="H4" s="1121"/>
      <c r="I4" s="1121"/>
    </row>
    <row r="6" spans="1:11" ht="30" customHeight="1">
      <c r="B6" s="654" t="s">
        <v>1390</v>
      </c>
      <c r="C6" s="655"/>
      <c r="D6" s="655"/>
      <c r="E6" s="655"/>
      <c r="F6" s="655"/>
      <c r="G6" s="163"/>
    </row>
    <row r="7" spans="1:11" ht="150" customHeight="1">
      <c r="B7" s="999" t="s">
        <v>1852</v>
      </c>
      <c r="C7" s="649"/>
      <c r="D7" s="649"/>
      <c r="E7" s="649"/>
      <c r="F7" s="649"/>
      <c r="G7" s="163"/>
    </row>
    <row r="8" spans="1:11">
      <c r="B8" s="237"/>
      <c r="C8" s="237"/>
      <c r="D8" s="237"/>
      <c r="E8" s="237"/>
      <c r="F8" s="237"/>
    </row>
    <row r="9" spans="1:11" s="11" customFormat="1" ht="18.75">
      <c r="A9"/>
      <c r="B9" s="42" t="s">
        <v>379</v>
      </c>
      <c r="C9"/>
      <c r="D9"/>
      <c r="E9"/>
      <c r="F9"/>
      <c r="G9"/>
      <c r="H9"/>
      <c r="I9"/>
      <c r="J9"/>
      <c r="K9"/>
    </row>
    <row r="10" spans="1:11">
      <c r="A10"/>
      <c r="B10"/>
      <c r="C10"/>
      <c r="D10"/>
      <c r="E10"/>
      <c r="F10"/>
      <c r="G10"/>
      <c r="H10"/>
      <c r="I10"/>
      <c r="J10"/>
      <c r="K10"/>
    </row>
    <row r="11" spans="1:11" ht="30" customHeight="1">
      <c r="B11" s="654" t="s">
        <v>1391</v>
      </c>
      <c r="C11" s="655"/>
      <c r="D11" s="655"/>
      <c r="E11" s="655"/>
      <c r="F11" s="655"/>
      <c r="G11" s="163"/>
    </row>
    <row r="12" spans="1:11" ht="93.6" customHeight="1">
      <c r="B12" s="999" t="s">
        <v>1853</v>
      </c>
      <c r="C12" s="649"/>
      <c r="D12" s="649"/>
      <c r="E12" s="649"/>
      <c r="F12" s="649"/>
      <c r="G12" s="163"/>
    </row>
    <row r="13" spans="1:11">
      <c r="A13"/>
      <c r="B13" s="152"/>
      <c r="C13" s="152"/>
      <c r="D13" s="152"/>
      <c r="E13" s="152"/>
      <c r="F13" s="152"/>
      <c r="G13"/>
      <c r="H13"/>
      <c r="I13"/>
      <c r="J13"/>
      <c r="K13"/>
    </row>
    <row r="14" spans="1:11">
      <c r="A14"/>
      <c r="K14"/>
    </row>
    <row r="15" spans="1:11">
      <c r="A15"/>
      <c r="B15"/>
      <c r="C15"/>
      <c r="D15"/>
      <c r="E15"/>
      <c r="F15"/>
      <c r="G15"/>
      <c r="H15"/>
      <c r="I15"/>
      <c r="J15"/>
      <c r="K15"/>
    </row>
    <row r="16" spans="1:11">
      <c r="A16"/>
      <c r="B16"/>
      <c r="C16"/>
      <c r="D16"/>
      <c r="E16"/>
      <c r="F16"/>
      <c r="G16"/>
      <c r="H16"/>
      <c r="I16"/>
      <c r="J16"/>
      <c r="K16"/>
    </row>
    <row r="17" spans="1:11">
      <c r="A17"/>
      <c r="B17"/>
      <c r="C17"/>
      <c r="D17"/>
      <c r="E17"/>
      <c r="F17"/>
      <c r="G17"/>
      <c r="H17"/>
      <c r="I17"/>
      <c r="J17"/>
      <c r="K17"/>
    </row>
    <row r="18" spans="1:11">
      <c r="A18"/>
      <c r="B18"/>
      <c r="C18"/>
      <c r="D18"/>
      <c r="E18"/>
      <c r="F18"/>
      <c r="G18"/>
      <c r="H18"/>
      <c r="I18"/>
      <c r="J18"/>
      <c r="K18"/>
    </row>
    <row r="19" spans="1:11">
      <c r="A19"/>
      <c r="B19"/>
      <c r="C19"/>
      <c r="D19"/>
      <c r="E19"/>
      <c r="F19"/>
      <c r="G19"/>
      <c r="H19"/>
      <c r="I19"/>
      <c r="J19"/>
      <c r="K19"/>
    </row>
    <row r="20" spans="1:11">
      <c r="A20"/>
      <c r="B20"/>
      <c r="C20"/>
      <c r="D20"/>
      <c r="E20"/>
      <c r="F20"/>
      <c r="G20"/>
      <c r="H20"/>
      <c r="I20"/>
      <c r="J20"/>
      <c r="K20"/>
    </row>
    <row r="21" spans="1:11">
      <c r="A21"/>
      <c r="B21"/>
      <c r="C21"/>
      <c r="D21"/>
      <c r="E21"/>
      <c r="F21"/>
      <c r="G21"/>
      <c r="H21"/>
      <c r="I21"/>
      <c r="J21"/>
      <c r="K21"/>
    </row>
    <row r="22" spans="1:11">
      <c r="A22"/>
      <c r="B22"/>
      <c r="C22"/>
      <c r="D22"/>
      <c r="E22"/>
      <c r="F22"/>
      <c r="G22"/>
      <c r="H22"/>
      <c r="I22"/>
      <c r="J22"/>
      <c r="K22"/>
    </row>
    <row r="23" spans="1:11">
      <c r="A23"/>
      <c r="B23"/>
      <c r="C23"/>
      <c r="D23"/>
      <c r="E23"/>
      <c r="F23"/>
      <c r="G23"/>
      <c r="H23"/>
      <c r="I23"/>
      <c r="J23"/>
      <c r="K23"/>
    </row>
    <row r="24" spans="1:11">
      <c r="A24"/>
      <c r="B24"/>
      <c r="C24"/>
      <c r="D24"/>
      <c r="E24"/>
      <c r="F24"/>
      <c r="G24"/>
      <c r="H24"/>
      <c r="I24"/>
      <c r="J24"/>
      <c r="K24"/>
    </row>
    <row r="25" spans="1:11">
      <c r="A25"/>
      <c r="B25"/>
      <c r="C25"/>
      <c r="D25"/>
      <c r="E25"/>
      <c r="F25"/>
      <c r="G25"/>
      <c r="H25"/>
      <c r="I25"/>
      <c r="J25"/>
      <c r="K25"/>
    </row>
    <row r="26" spans="1:11">
      <c r="A26"/>
      <c r="B26"/>
      <c r="C26"/>
      <c r="D26"/>
      <c r="E26"/>
      <c r="F26"/>
      <c r="G26"/>
      <c r="H26"/>
      <c r="I26"/>
      <c r="J26"/>
      <c r="K26"/>
    </row>
    <row r="27" spans="1:11">
      <c r="A27"/>
      <c r="B27"/>
      <c r="C27"/>
      <c r="D27"/>
      <c r="E27"/>
      <c r="F27"/>
      <c r="G27"/>
      <c r="H27"/>
      <c r="I27"/>
      <c r="J27"/>
      <c r="K27"/>
    </row>
    <row r="28" spans="1:11">
      <c r="A28"/>
      <c r="B28"/>
      <c r="C28"/>
      <c r="D28"/>
      <c r="E28"/>
      <c r="F28"/>
      <c r="G28"/>
      <c r="H28"/>
      <c r="I28"/>
      <c r="J28"/>
      <c r="K28"/>
    </row>
    <row r="29" spans="1:11" ht="18.75" customHeight="1">
      <c r="A29"/>
      <c r="B29"/>
      <c r="C29"/>
      <c r="D29"/>
      <c r="E29"/>
      <c r="F29"/>
      <c r="G29"/>
      <c r="H29"/>
      <c r="I29"/>
      <c r="J29"/>
      <c r="K29"/>
    </row>
    <row r="30" spans="1:11">
      <c r="A30"/>
      <c r="B30"/>
      <c r="C30"/>
      <c r="D30"/>
      <c r="E30"/>
      <c r="F30"/>
      <c r="G30"/>
      <c r="H30"/>
      <c r="I30"/>
      <c r="J30"/>
      <c r="K30"/>
    </row>
    <row r="31" spans="1:11">
      <c r="A31"/>
      <c r="B31"/>
      <c r="C31"/>
      <c r="D31"/>
      <c r="E31"/>
      <c r="F31"/>
      <c r="G31"/>
      <c r="H31"/>
      <c r="I31"/>
      <c r="J31"/>
      <c r="K31"/>
    </row>
    <row r="32" spans="1:11" ht="50.1" customHeight="1">
      <c r="A32"/>
      <c r="B32"/>
      <c r="C32"/>
      <c r="D32"/>
      <c r="E32"/>
      <c r="F32"/>
      <c r="G32"/>
      <c r="H32"/>
      <c r="I32"/>
      <c r="J32"/>
      <c r="K32"/>
    </row>
  </sheetData>
  <sheetProtection formatCells="0" formatColumns="0" formatRows="0" insertHyperlinks="0"/>
  <mergeCells count="5">
    <mergeCell ref="H4:I4"/>
    <mergeCell ref="B6:F6"/>
    <mergeCell ref="B11:F11"/>
    <mergeCell ref="B12:F12"/>
    <mergeCell ref="B7:F7"/>
  </mergeCells>
  <pageMargins left="0.70866141732283472" right="0.70866141732283472" top="0.74803149606299213" bottom="0.74803149606299213" header="0.31496062992125984" footer="0.31496062992125984"/>
  <pageSetup paperSize="9" scale="77" fitToHeight="0" orientation="portrait" r:id="rId1"/>
  <headerFooter>
    <oddFooter>&amp;C&amp;P</oddFooter>
  </headerFooter>
  <drawing r:id="rId2"/>
  <picture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7">
    <tabColor theme="1"/>
    <pageSetUpPr fitToPage="1"/>
  </sheetPr>
  <dimension ref="A1:B30"/>
  <sheetViews>
    <sheetView showGridLines="0" zoomScaleNormal="100" workbookViewId="0">
      <selection activeCell="B35" sqref="B35"/>
    </sheetView>
  </sheetViews>
  <sheetFormatPr defaultColWidth="9.140625" defaultRowHeight="15"/>
  <cols>
    <col min="1" max="1" width="9.140625" style="27"/>
    <col min="2" max="2" width="116.5703125" style="27" customWidth="1"/>
    <col min="3" max="16384" width="9.140625" style="27"/>
  </cols>
  <sheetData>
    <row r="1" spans="1:2">
      <c r="A1" s="8"/>
    </row>
    <row r="2" spans="1:2" ht="21">
      <c r="A2" s="102"/>
      <c r="B2" s="129" t="s">
        <v>416</v>
      </c>
    </row>
    <row r="3" spans="1:2">
      <c r="B3" s="303"/>
    </row>
    <row r="4" spans="1:2" ht="18.75">
      <c r="B4" s="28"/>
    </row>
    <row r="5" spans="1:2">
      <c r="B5" s="514" t="s">
        <v>410</v>
      </c>
    </row>
    <row r="6" spans="1:2">
      <c r="B6" s="515" t="s">
        <v>1854</v>
      </c>
    </row>
    <row r="7" spans="1:2" hidden="1">
      <c r="B7" s="514" t="s">
        <v>411</v>
      </c>
    </row>
    <row r="8" spans="1:2" hidden="1">
      <c r="B8" s="515" t="s">
        <v>1208</v>
      </c>
    </row>
    <row r="9" spans="1:2">
      <c r="B9" s="514" t="s">
        <v>915</v>
      </c>
    </row>
    <row r="10" spans="1:2" hidden="1">
      <c r="B10" s="514" t="s">
        <v>1173</v>
      </c>
    </row>
    <row r="11" spans="1:2">
      <c r="B11" s="514" t="s">
        <v>1172</v>
      </c>
    </row>
    <row r="12" spans="1:2" hidden="1">
      <c r="B12" s="514" t="s">
        <v>1174</v>
      </c>
    </row>
    <row r="13" spans="1:2" hidden="1">
      <c r="B13" s="514" t="s">
        <v>1175</v>
      </c>
    </row>
    <row r="14" spans="1:2" hidden="1">
      <c r="B14" s="514" t="s">
        <v>1176</v>
      </c>
    </row>
    <row r="15" spans="1:2" hidden="1">
      <c r="B15" s="514" t="s">
        <v>1177</v>
      </c>
    </row>
    <row r="16" spans="1:2" hidden="1">
      <c r="B16" s="514" t="s">
        <v>1178</v>
      </c>
    </row>
    <row r="17" spans="2:2" hidden="1">
      <c r="B17" s="514" t="s">
        <v>1179</v>
      </c>
    </row>
    <row r="18" spans="2:2" hidden="1">
      <c r="B18" s="514" t="s">
        <v>1180</v>
      </c>
    </row>
    <row r="19" spans="2:2" hidden="1">
      <c r="B19" s="514" t="s">
        <v>1187</v>
      </c>
    </row>
    <row r="20" spans="2:2" hidden="1">
      <c r="B20" s="514" t="s">
        <v>1199</v>
      </c>
    </row>
    <row r="21" spans="2:2" hidden="1">
      <c r="B21" s="514" t="s">
        <v>1420</v>
      </c>
    </row>
    <row r="22" spans="2:2" hidden="1">
      <c r="B22" s="514" t="s">
        <v>1421</v>
      </c>
    </row>
    <row r="23" spans="2:2" hidden="1">
      <c r="B23" s="514" t="s">
        <v>1422</v>
      </c>
    </row>
    <row r="24" spans="2:2" hidden="1">
      <c r="B24" s="514" t="s">
        <v>1423</v>
      </c>
    </row>
    <row r="25" spans="2:2" hidden="1">
      <c r="B25" s="514" t="s">
        <v>1493</v>
      </c>
    </row>
    <row r="26" spans="2:2" hidden="1">
      <c r="B26" s="514" t="s">
        <v>1494</v>
      </c>
    </row>
    <row r="27" spans="2:2" hidden="1">
      <c r="B27" s="514" t="s">
        <v>1558</v>
      </c>
    </row>
    <row r="28" spans="2:2" hidden="1">
      <c r="B28" s="514" t="s">
        <v>1181</v>
      </c>
    </row>
    <row r="29" spans="2:2">
      <c r="B29" s="516" t="s">
        <v>1182</v>
      </c>
    </row>
    <row r="30" spans="2:2">
      <c r="B30" s="517"/>
    </row>
  </sheetData>
  <sheetProtection formatCells="0" formatColumns="0" formatRows="0" insertHyperlinks="0"/>
  <phoneticPr fontId="0" type="noConversion"/>
  <pageMargins left="0.70866141732283472" right="0.70866141732283472" top="0.74803149606299213" bottom="0.74803149606299213" header="0.31496062992125984" footer="0.31496062992125984"/>
  <pageSetup paperSize="9" scale="76" fitToHeight="0" orientation="portrait" r:id="rId1"/>
  <headerFooter>
    <oddFooter>&amp;C&amp;P</oddFooter>
  </headerFooter>
  <picture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1">
    <tabColor rgb="FF339966"/>
  </sheetPr>
  <dimension ref="A1:CG174"/>
  <sheetViews>
    <sheetView topLeftCell="AX1" workbookViewId="0">
      <pane ySplit="4" topLeftCell="A5" activePane="bottomLeft" state="frozen"/>
      <selection activeCell="A5" sqref="A5"/>
      <selection pane="bottomLeft" activeCell="B2" sqref="B2"/>
    </sheetView>
  </sheetViews>
  <sheetFormatPr defaultRowHeight="15"/>
  <cols>
    <col min="2" max="2" width="7.42578125" customWidth="1"/>
    <col min="3" max="3" width="6.42578125" customWidth="1"/>
    <col min="4" max="4" width="7.5703125" customWidth="1"/>
    <col min="5" max="6" width="14.28515625" customWidth="1"/>
    <col min="7" max="9" width="18.7109375" customWidth="1"/>
    <col min="10" max="10" width="15" customWidth="1"/>
    <col min="11" max="18" width="12" customWidth="1"/>
    <col min="19" max="19" width="16.42578125" customWidth="1"/>
    <col min="20" max="20" width="12.28515625" customWidth="1"/>
    <col min="21" max="21" width="13" customWidth="1"/>
    <col min="22" max="22" width="18.140625" customWidth="1"/>
    <col min="25" max="25" width="8.5703125" customWidth="1"/>
    <col min="26" max="26" width="17.42578125" customWidth="1"/>
    <col min="27" max="27" width="10.7109375" customWidth="1"/>
    <col min="31" max="31" width="10.42578125" customWidth="1"/>
    <col min="32" max="32" width="12" customWidth="1"/>
    <col min="35" max="35" width="22.5703125" customWidth="1"/>
    <col min="36" max="37" width="8" customWidth="1"/>
    <col min="45" max="45" width="22.5703125" customWidth="1"/>
    <col min="46" max="47" width="10.7109375" customWidth="1"/>
    <col min="55" max="55" width="18.5703125" customWidth="1"/>
    <col min="56" max="56" width="19" bestFit="1" customWidth="1"/>
    <col min="57" max="57" width="11.85546875" customWidth="1"/>
    <col min="58" max="58" width="12.42578125" customWidth="1"/>
    <col min="59" max="59" width="12.85546875" customWidth="1"/>
    <col min="63" max="63" width="12.5703125" customWidth="1"/>
    <col min="64" max="64" width="16.42578125" customWidth="1"/>
    <col min="70" max="70" width="22.5703125" customWidth="1"/>
    <col min="71" max="72" width="10.7109375" customWidth="1"/>
    <col min="74" max="74" width="20.28515625" bestFit="1" customWidth="1"/>
    <col min="75" max="76" width="26.5703125" customWidth="1"/>
    <col min="78" max="78" width="26.42578125" customWidth="1"/>
    <col min="79" max="79" width="13.42578125" customWidth="1"/>
    <col min="83" max="83" width="26.140625" bestFit="1" customWidth="1"/>
  </cols>
  <sheetData>
    <row r="1" spans="1:85">
      <c r="A1" s="101" t="s">
        <v>222</v>
      </c>
      <c r="B1" s="73" t="s">
        <v>636</v>
      </c>
      <c r="C1" s="73"/>
      <c r="D1" s="73"/>
      <c r="E1" s="73"/>
      <c r="F1" s="73"/>
      <c r="G1" s="73"/>
      <c r="H1" s="73"/>
      <c r="I1" s="73"/>
      <c r="J1" s="73"/>
      <c r="K1" s="73"/>
      <c r="N1" s="73" t="s">
        <v>1003</v>
      </c>
      <c r="O1" s="73"/>
      <c r="R1" s="73" t="s">
        <v>1134</v>
      </c>
      <c r="S1" s="73"/>
      <c r="T1" s="73"/>
      <c r="U1" s="73"/>
      <c r="V1" s="73"/>
      <c r="Y1" s="73" t="s">
        <v>1474</v>
      </c>
      <c r="Z1" s="73"/>
      <c r="AA1" s="73"/>
      <c r="AB1" s="73"/>
      <c r="AC1" s="73"/>
      <c r="AD1" s="73"/>
      <c r="AE1" s="73"/>
      <c r="AF1" s="73"/>
      <c r="AI1" s="75" t="s">
        <v>1700</v>
      </c>
      <c r="AJ1" s="75"/>
      <c r="AK1" s="75"/>
      <c r="AL1" s="75"/>
      <c r="AM1" s="75"/>
      <c r="AN1" s="75"/>
      <c r="AO1" s="75"/>
      <c r="AP1" s="75"/>
      <c r="AS1" s="75" t="s">
        <v>54</v>
      </c>
      <c r="AT1" s="75"/>
      <c r="AU1" s="75"/>
      <c r="AV1" s="75"/>
      <c r="AW1" s="75"/>
      <c r="AX1" s="75"/>
      <c r="AY1" s="75"/>
      <c r="AZ1" s="75"/>
      <c r="BC1" s="75" t="s">
        <v>1539</v>
      </c>
      <c r="BD1" s="75"/>
      <c r="BE1" s="75"/>
      <c r="BF1" s="75"/>
      <c r="BG1" s="75"/>
      <c r="BH1" s="75"/>
      <c r="BI1" s="75"/>
      <c r="BL1" s="75" t="s">
        <v>1547</v>
      </c>
      <c r="BM1" s="75"/>
      <c r="BN1" s="75"/>
      <c r="BO1" s="75"/>
      <c r="BR1" s="75" t="s">
        <v>1549</v>
      </c>
      <c r="BS1" s="75"/>
      <c r="BT1" s="75"/>
      <c r="BV1" s="75" t="s">
        <v>1646</v>
      </c>
      <c r="BW1" s="75"/>
      <c r="BX1" s="75"/>
      <c r="BZ1" s="75" t="s">
        <v>1613</v>
      </c>
      <c r="CA1" s="75"/>
      <c r="CC1" s="75" t="s">
        <v>1709</v>
      </c>
      <c r="CD1" s="75"/>
      <c r="CE1" s="75"/>
      <c r="CF1" s="75"/>
    </row>
    <row r="2" spans="1:85">
      <c r="Y2" s="83" t="s">
        <v>633</v>
      </c>
      <c r="Z2" s="83"/>
      <c r="AA2" s="83">
        <f>COUNTIFS(Table_Airports[Country_Name],Signatories!$C$5,Table_Airports[Average],"&gt;=80000")</f>
        <v>0</v>
      </c>
      <c r="AB2" s="83"/>
      <c r="AC2" s="83" t="s">
        <v>634</v>
      </c>
      <c r="AD2" s="83"/>
      <c r="AE2" s="83"/>
      <c r="AF2" s="83">
        <f>COUNTIFS(Table_Airports[Country_Name],Signatories!$C$5,Table_Airports[Average],"&gt;=70000",Table_Airports[Average],"&lt;80000")</f>
        <v>0</v>
      </c>
      <c r="AI2" s="76" t="s">
        <v>32</v>
      </c>
      <c r="AJ2" s="76"/>
      <c r="AK2" s="76"/>
      <c r="AL2" s="76"/>
      <c r="AM2" s="479">
        <v>2.3699999999999999E-2</v>
      </c>
      <c r="AN2" s="479">
        <v>2.3699999999999999E-2</v>
      </c>
      <c r="AO2" s="479">
        <v>2.4E-2</v>
      </c>
      <c r="AP2" s="479">
        <v>2.4E-2</v>
      </c>
      <c r="AS2" s="76" t="s">
        <v>32</v>
      </c>
      <c r="AT2" s="76"/>
      <c r="AU2" s="76"/>
      <c r="AV2" s="76"/>
      <c r="AW2" s="478">
        <v>0.35</v>
      </c>
      <c r="AX2" s="478">
        <v>0.5</v>
      </c>
      <c r="AY2" s="478">
        <v>0.5</v>
      </c>
      <c r="AZ2" s="478">
        <v>0.5</v>
      </c>
    </row>
    <row r="3" spans="1:85">
      <c r="AB3" s="71" t="s">
        <v>28</v>
      </c>
      <c r="AC3" s="71"/>
      <c r="AD3" s="71"/>
      <c r="AE3" s="71"/>
      <c r="AI3" t="s">
        <v>1766</v>
      </c>
      <c r="AS3" t="s">
        <v>1766</v>
      </c>
      <c r="BC3" t="s">
        <v>1699</v>
      </c>
      <c r="BR3" t="s">
        <v>1699</v>
      </c>
    </row>
    <row r="4" spans="1:85">
      <c r="B4" t="s">
        <v>422</v>
      </c>
      <c r="C4" t="s">
        <v>564</v>
      </c>
      <c r="D4" t="s">
        <v>565</v>
      </c>
      <c r="E4" t="s">
        <v>423</v>
      </c>
      <c r="F4" t="s">
        <v>718</v>
      </c>
      <c r="G4" t="s">
        <v>478</v>
      </c>
      <c r="H4" t="s">
        <v>479</v>
      </c>
      <c r="I4" t="s">
        <v>729</v>
      </c>
      <c r="J4" t="s">
        <v>540</v>
      </c>
      <c r="K4" t="s">
        <v>566</v>
      </c>
      <c r="R4" t="s">
        <v>1235</v>
      </c>
      <c r="S4" t="s">
        <v>423</v>
      </c>
      <c r="T4" t="s">
        <v>1132</v>
      </c>
      <c r="U4" t="s">
        <v>1133</v>
      </c>
      <c r="V4" t="s">
        <v>1236</v>
      </c>
      <c r="Y4" t="s">
        <v>568</v>
      </c>
      <c r="Z4" t="s">
        <v>569</v>
      </c>
      <c r="AA4" t="s">
        <v>423</v>
      </c>
      <c r="AB4" t="s">
        <v>630</v>
      </c>
      <c r="AC4" t="s">
        <v>631</v>
      </c>
      <c r="AD4" t="s">
        <v>632</v>
      </c>
      <c r="AE4" t="s">
        <v>29</v>
      </c>
      <c r="AF4" t="s">
        <v>570</v>
      </c>
      <c r="AI4" t="s">
        <v>695</v>
      </c>
      <c r="AJ4" s="450" t="s">
        <v>1535</v>
      </c>
      <c r="AK4" s="450" t="s">
        <v>1703</v>
      </c>
      <c r="AL4" s="450" t="s">
        <v>1704</v>
      </c>
      <c r="AM4" s="450" t="s">
        <v>1705</v>
      </c>
      <c r="AN4" s="450" t="s">
        <v>1706</v>
      </c>
      <c r="AO4" s="450" t="s">
        <v>1707</v>
      </c>
      <c r="AP4" s="450" t="s">
        <v>1708</v>
      </c>
      <c r="AS4" t="s">
        <v>695</v>
      </c>
      <c r="AT4" s="450" t="s">
        <v>1535</v>
      </c>
      <c r="AU4" s="450" t="s">
        <v>1703</v>
      </c>
      <c r="AV4" s="450" t="s">
        <v>1704</v>
      </c>
      <c r="AW4" s="450" t="s">
        <v>1705</v>
      </c>
      <c r="AX4" s="450" t="s">
        <v>1706</v>
      </c>
      <c r="AY4" s="450" t="s">
        <v>1707</v>
      </c>
      <c r="AZ4" s="450" t="s">
        <v>1708</v>
      </c>
      <c r="BC4" t="s">
        <v>423</v>
      </c>
      <c r="BD4" t="s">
        <v>745</v>
      </c>
      <c r="BE4" t="s">
        <v>753</v>
      </c>
      <c r="BF4" t="s">
        <v>751</v>
      </c>
      <c r="BG4" t="s">
        <v>752</v>
      </c>
      <c r="BH4" t="s">
        <v>1548</v>
      </c>
      <c r="BI4" t="s">
        <v>1761</v>
      </c>
      <c r="BL4" t="s">
        <v>745</v>
      </c>
      <c r="BM4" t="s">
        <v>753</v>
      </c>
      <c r="BN4" t="s">
        <v>423</v>
      </c>
      <c r="BO4" s="450" t="s">
        <v>1594</v>
      </c>
      <c r="BR4" t="s">
        <v>695</v>
      </c>
      <c r="BS4" t="s">
        <v>1535</v>
      </c>
      <c r="BT4" t="s">
        <v>1703</v>
      </c>
      <c r="BV4" s="414" t="s">
        <v>732</v>
      </c>
      <c r="BW4" s="450" t="s">
        <v>1593</v>
      </c>
      <c r="BX4" s="450" t="s">
        <v>1594</v>
      </c>
      <c r="BZ4" s="436" t="s">
        <v>1601</v>
      </c>
      <c r="CA4" s="437" t="s">
        <v>1602</v>
      </c>
      <c r="CC4" t="s">
        <v>1710</v>
      </c>
      <c r="CD4" t="s">
        <v>1711</v>
      </c>
      <c r="CE4" t="s">
        <v>1712</v>
      </c>
      <c r="CF4" t="s">
        <v>1703</v>
      </c>
      <c r="CG4" t="s">
        <v>1713</v>
      </c>
    </row>
    <row r="5" spans="1:85">
      <c r="B5" t="s">
        <v>457</v>
      </c>
      <c r="C5" t="s">
        <v>510</v>
      </c>
      <c r="E5" t="s">
        <v>2</v>
      </c>
      <c r="F5" t="s">
        <v>1</v>
      </c>
      <c r="G5" t="s">
        <v>426</v>
      </c>
      <c r="H5" t="s">
        <v>480</v>
      </c>
      <c r="I5" t="s">
        <v>426</v>
      </c>
      <c r="J5" t="s">
        <v>2</v>
      </c>
      <c r="N5" s="108" t="s">
        <v>1004</v>
      </c>
      <c r="O5" s="108"/>
      <c r="P5" s="108"/>
      <c r="Q5" s="108"/>
      <c r="R5" s="108">
        <v>1</v>
      </c>
      <c r="S5" s="108" t="s">
        <v>2</v>
      </c>
      <c r="T5" s="108" t="s">
        <v>1237</v>
      </c>
      <c r="U5" s="108" t="s">
        <v>583</v>
      </c>
      <c r="V5" s="108" t="s">
        <v>1238</v>
      </c>
      <c r="Y5" t="s">
        <v>156</v>
      </c>
      <c r="Z5" t="s">
        <v>572</v>
      </c>
      <c r="AA5" t="str">
        <f>IFERROR(INDEX(Table_State_ANSP[Country_Name],MATCH(LEFT(Y5,2),Table_State_ANSP[ICAO_CODE_1],0)),INDEX(Table_State_ANSP[Country_Name],MATCH(LEFT(Y5,2),Table_State_ANSP[ICAO_CODE_2],0)))</f>
        <v>Netherlands</v>
      </c>
      <c r="AB5">
        <v>490436</v>
      </c>
      <c r="AC5">
        <v>508299</v>
      </c>
      <c r="AD5">
        <v>511321</v>
      </c>
      <c r="AE5" s="72">
        <v>503352</v>
      </c>
      <c r="AI5" t="s">
        <v>2</v>
      </c>
      <c r="AJ5" s="405">
        <v>1.9199999999999998E-2</v>
      </c>
      <c r="AK5" s="405">
        <v>1.9E-2</v>
      </c>
      <c r="AL5" s="405">
        <v>1.9E-2</v>
      </c>
      <c r="AM5" s="405">
        <v>1.9586833327559061E-2</v>
      </c>
      <c r="AN5" s="405">
        <v>1.9586833327559061E-2</v>
      </c>
      <c r="AO5" s="405">
        <v>1.9586833327559061E-2</v>
      </c>
      <c r="AP5" s="405">
        <v>1.9586833327559061E-2</v>
      </c>
      <c r="AS5" t="s">
        <v>2</v>
      </c>
      <c r="AT5">
        <v>0</v>
      </c>
      <c r="AU5">
        <v>0.95</v>
      </c>
      <c r="AV5">
        <v>0.37</v>
      </c>
      <c r="AW5">
        <v>0.1</v>
      </c>
      <c r="AX5">
        <v>0.17</v>
      </c>
      <c r="AY5">
        <v>0.17</v>
      </c>
      <c r="AZ5">
        <v>0.16</v>
      </c>
      <c r="BC5" t="s">
        <v>2</v>
      </c>
      <c r="BD5" t="s">
        <v>1497</v>
      </c>
      <c r="BE5" t="s">
        <v>932</v>
      </c>
      <c r="BF5" t="s">
        <v>55</v>
      </c>
      <c r="BG5" t="s">
        <v>583</v>
      </c>
      <c r="BH5">
        <v>0.48880873103958566</v>
      </c>
      <c r="BI5">
        <v>1.27</v>
      </c>
      <c r="BL5" s="90" t="str">
        <f>IFERROR(INDEX(Table_TCZs_RP2[TCZ_Name], MATCH(0, INDEX(COUNTIF($BL$4:BL4, Table_TCZs_RP2[TCZ_Name]), 0, 0), 0)), "")</f>
        <v>Austria - TCZ</v>
      </c>
      <c r="BM5" s="90" t="str">
        <f>INDEX(Table_TCZs_RP2[TCZ_Code],MATCH(BL5,Table_TCZs_RP2[TCZ_Name],0))</f>
        <v>LO_TCZ</v>
      </c>
      <c r="BN5" t="str">
        <f>INDEX(Table_TCZs_RP2[Country_Name],MATCH(BL5,Table_TCZs_RP2[TCZ_Name],0))</f>
        <v>Austria</v>
      </c>
      <c r="BO5">
        <v>103.63149999999999</v>
      </c>
      <c r="BR5" t="s">
        <v>2</v>
      </c>
      <c r="BS5">
        <v>0.36461302924717559</v>
      </c>
      <c r="BT5">
        <v>1.25</v>
      </c>
      <c r="BV5" s="415" t="s">
        <v>2</v>
      </c>
      <c r="BW5" s="449">
        <v>96.109694838647982</v>
      </c>
      <c r="BX5" s="449">
        <v>103.63149999999999</v>
      </c>
      <c r="BZ5" s="438" t="s">
        <v>221</v>
      </c>
      <c r="CA5" s="439">
        <v>-5.7000000000000002E-2</v>
      </c>
      <c r="CC5" t="s">
        <v>3</v>
      </c>
      <c r="CD5" t="s">
        <v>425</v>
      </c>
      <c r="CE5" t="s">
        <v>894</v>
      </c>
      <c r="CF5" t="s">
        <v>1714</v>
      </c>
      <c r="CG5" t="str">
        <f>Table_Safety_Targets[[#This Row],[ANSP]]&amp;Table_Safety_Targets[[#This Row],[Safety Area]]</f>
        <v>ANS CRSafety policy and objectives</v>
      </c>
    </row>
    <row r="6" spans="1:85">
      <c r="B6" t="s">
        <v>455</v>
      </c>
      <c r="C6" t="s">
        <v>511</v>
      </c>
      <c r="E6" t="s">
        <v>9</v>
      </c>
      <c r="F6" t="s">
        <v>8</v>
      </c>
      <c r="G6" t="s">
        <v>454</v>
      </c>
      <c r="H6" t="s">
        <v>481</v>
      </c>
      <c r="I6" t="s">
        <v>454</v>
      </c>
      <c r="J6" t="s">
        <v>208</v>
      </c>
      <c r="N6" s="108" t="s">
        <v>1523</v>
      </c>
      <c r="O6" s="108"/>
      <c r="P6" s="108"/>
      <c r="Q6" s="108"/>
      <c r="R6" s="108">
        <v>2</v>
      </c>
      <c r="S6" s="108" t="s">
        <v>9</v>
      </c>
      <c r="T6" s="108" t="s">
        <v>1239</v>
      </c>
      <c r="U6" s="108" t="s">
        <v>587</v>
      </c>
      <c r="V6" s="108" t="s">
        <v>1240</v>
      </c>
      <c r="Y6" t="s">
        <v>126</v>
      </c>
      <c r="Z6" t="s">
        <v>571</v>
      </c>
      <c r="AA6" t="s">
        <v>11</v>
      </c>
      <c r="AB6">
        <v>462903</v>
      </c>
      <c r="AC6">
        <v>475535</v>
      </c>
      <c r="AD6">
        <v>512099</v>
      </c>
      <c r="AE6" s="72">
        <v>483512.33333333331</v>
      </c>
      <c r="AI6" t="s">
        <v>9</v>
      </c>
      <c r="AJ6" s="405"/>
      <c r="AK6" s="405">
        <v>7.1199999999999999E-2</v>
      </c>
      <c r="AL6" s="405">
        <v>2.9000000000000001E-2</v>
      </c>
      <c r="AM6" s="405">
        <v>3.1E-2</v>
      </c>
      <c r="AN6" s="405">
        <v>3.0499999999999999E-2</v>
      </c>
      <c r="AO6" s="405">
        <v>0.03</v>
      </c>
      <c r="AP6" s="405">
        <v>0.03</v>
      </c>
      <c r="AS6" t="s">
        <v>9</v>
      </c>
      <c r="AT6">
        <v>6.3888419447960462E-2</v>
      </c>
      <c r="AU6">
        <v>0.64</v>
      </c>
      <c r="AV6" t="s">
        <v>227</v>
      </c>
      <c r="AW6">
        <v>7.0000000000000007E-2</v>
      </c>
      <c r="AX6">
        <v>0.12</v>
      </c>
      <c r="AY6">
        <v>0.13</v>
      </c>
      <c r="AZ6">
        <v>0.12</v>
      </c>
      <c r="BC6" t="s">
        <v>2</v>
      </c>
      <c r="BD6" t="s">
        <v>1497</v>
      </c>
      <c r="BE6" t="s">
        <v>932</v>
      </c>
      <c r="BF6" t="s">
        <v>56</v>
      </c>
      <c r="BG6" t="s">
        <v>746</v>
      </c>
      <c r="BH6">
        <v>3.7859185618956827E-2</v>
      </c>
      <c r="BI6">
        <v>0.11</v>
      </c>
      <c r="BL6" s="90" t="str">
        <f>IFERROR(INDEX(Table_TCZs_RP2[TCZ_Name], MATCH(0, INDEX(COUNTIF($BL$5:BL5, Table_TCZs_RP2[TCZ_Name]), 0, 0), 0)), "")</f>
        <v>Belgium EBBR</v>
      </c>
      <c r="BM6" s="90" t="str">
        <f>INDEX(Table_TCZs_RP2[TCZ_Code],MATCH(BL6,Table_TCZs_RP2[TCZ_Name],0))</f>
        <v>EB_TCZ_EBBR</v>
      </c>
      <c r="BN6" t="str">
        <f>INDEX(Table_TCZs_RP2[Country_Name],MATCH(BL6,Table_TCZs_RP2[TCZ_Name],0))</f>
        <v>Belgium</v>
      </c>
      <c r="BO6">
        <v>103.52759999999999</v>
      </c>
      <c r="BR6" t="s">
        <v>9</v>
      </c>
      <c r="BS6">
        <v>0.37509305075097432</v>
      </c>
      <c r="BT6">
        <v>1.82</v>
      </c>
      <c r="BV6" s="416" t="s">
        <v>208</v>
      </c>
      <c r="BW6" s="449">
        <v>95.543983760824773</v>
      </c>
      <c r="BX6" s="449">
        <v>103.52759999999999</v>
      </c>
      <c r="BZ6" s="438" t="s">
        <v>1603</v>
      </c>
      <c r="CA6" s="439">
        <v>-4.1099999999999998E-2</v>
      </c>
      <c r="CC6" t="s">
        <v>3</v>
      </c>
      <c r="CD6" t="s">
        <v>425</v>
      </c>
      <c r="CE6" t="s">
        <v>895</v>
      </c>
      <c r="CF6" t="s">
        <v>1714</v>
      </c>
      <c r="CG6" t="str">
        <f>Table_Safety_Targets[[#This Row],[ANSP]]&amp;Table_Safety_Targets[[#This Row],[Safety Area]]</f>
        <v>ANS CRSafety risk management</v>
      </c>
    </row>
    <row r="7" spans="1:85">
      <c r="B7" t="s">
        <v>458</v>
      </c>
      <c r="C7" t="s">
        <v>512</v>
      </c>
      <c r="E7" t="s">
        <v>218</v>
      </c>
      <c r="F7" t="s">
        <v>217</v>
      </c>
      <c r="G7" t="s">
        <v>427</v>
      </c>
      <c r="H7" t="s">
        <v>482</v>
      </c>
      <c r="I7" t="s">
        <v>427</v>
      </c>
      <c r="J7" t="s">
        <v>218</v>
      </c>
      <c r="N7" s="108" t="s">
        <v>1524</v>
      </c>
      <c r="O7" s="108"/>
      <c r="P7" s="108"/>
      <c r="Q7" s="108"/>
      <c r="R7" s="108">
        <v>3</v>
      </c>
      <c r="S7" s="108" t="s">
        <v>218</v>
      </c>
      <c r="T7" s="108" t="s">
        <v>1241</v>
      </c>
      <c r="U7" s="108" t="s">
        <v>1242</v>
      </c>
      <c r="V7" s="108" t="s">
        <v>1243</v>
      </c>
      <c r="Y7" t="s">
        <v>69</v>
      </c>
      <c r="Z7" t="s">
        <v>573</v>
      </c>
      <c r="AA7" t="s">
        <v>10</v>
      </c>
      <c r="AB7">
        <v>479199</v>
      </c>
      <c r="AC7">
        <v>482678</v>
      </c>
      <c r="AD7">
        <v>488117</v>
      </c>
      <c r="AE7" s="72">
        <v>483331.33333333331</v>
      </c>
      <c r="AI7" t="s">
        <v>218</v>
      </c>
      <c r="AJ7" s="405">
        <v>2.5499999999999998E-2</v>
      </c>
      <c r="AK7" s="405">
        <v>1.95E-2</v>
      </c>
      <c r="AL7" s="405">
        <v>1.95E-2</v>
      </c>
      <c r="AM7" s="405">
        <v>2.2499999999999999E-2</v>
      </c>
      <c r="AN7" s="405">
        <v>2.2499999999999999E-2</v>
      </c>
      <c r="AO7" s="405">
        <v>2.2499999999999999E-2</v>
      </c>
      <c r="AP7" s="405">
        <v>2.2499999999999999E-2</v>
      </c>
      <c r="AS7" t="s">
        <v>218</v>
      </c>
      <c r="AT7">
        <v>0</v>
      </c>
      <c r="AU7">
        <v>0.17</v>
      </c>
      <c r="AV7">
        <v>0.17</v>
      </c>
      <c r="AW7">
        <v>0.04</v>
      </c>
      <c r="AX7">
        <v>0.08</v>
      </c>
      <c r="AY7">
        <v>7.0000000000000007E-2</v>
      </c>
      <c r="AZ7">
        <v>0.08</v>
      </c>
      <c r="BC7" t="s">
        <v>2</v>
      </c>
      <c r="BD7" t="s">
        <v>1497</v>
      </c>
      <c r="BE7" t="s">
        <v>932</v>
      </c>
      <c r="BF7" t="s">
        <v>57</v>
      </c>
      <c r="BG7" t="s">
        <v>747</v>
      </c>
      <c r="BH7">
        <v>0</v>
      </c>
      <c r="BI7">
        <v>0.01</v>
      </c>
      <c r="BL7" s="90" t="str">
        <f>IFERROR(INDEX(Table_TCZs_RP2[TCZ_Name], MATCH(0, INDEX(COUNTIF($BL$5:BL6, Table_TCZs_RP2[TCZ_Name]), 0, 0), 0)), "")</f>
        <v>Czech Republic - TCZ</v>
      </c>
      <c r="BM7" s="90" t="str">
        <f>INDEX(Table_TCZs_RP2[TCZ_Code],MATCH(BL7,Table_TCZs_RP2[TCZ_Name],0))</f>
        <v>LK_TCZ</v>
      </c>
      <c r="BN7" t="str">
        <f>INDEX(Table_TCZs_RP2[Country_Name],MATCH(BL7,Table_TCZs_RP2[TCZ_Name],0))</f>
        <v>Czech Republic</v>
      </c>
      <c r="BO7">
        <v>104.652</v>
      </c>
      <c r="BR7" t="s">
        <v>218</v>
      </c>
      <c r="BS7" t="s">
        <v>892</v>
      </c>
      <c r="BT7" t="s">
        <v>892</v>
      </c>
      <c r="BV7" s="415" t="s">
        <v>218</v>
      </c>
      <c r="BW7" s="449">
        <v>101.22925559985767</v>
      </c>
      <c r="BX7" s="449">
        <v>105.16500000000001</v>
      </c>
      <c r="BZ7" s="438" t="s">
        <v>14</v>
      </c>
      <c r="CA7" s="439">
        <v>-3.44E-2</v>
      </c>
      <c r="CC7" t="s">
        <v>3</v>
      </c>
      <c r="CD7" t="s">
        <v>425</v>
      </c>
      <c r="CE7" t="s">
        <v>896</v>
      </c>
      <c r="CF7" t="s">
        <v>1714</v>
      </c>
      <c r="CG7" t="str">
        <f>Table_Safety_Targets[[#This Row],[ANSP]]&amp;Table_Safety_Targets[[#This Row],[Safety Area]]</f>
        <v>ANS CRSafety assurance</v>
      </c>
    </row>
    <row r="8" spans="1:85">
      <c r="B8" t="s">
        <v>459</v>
      </c>
      <c r="C8" t="s">
        <v>513</v>
      </c>
      <c r="E8" t="s">
        <v>4</v>
      </c>
      <c r="F8" t="s">
        <v>1</v>
      </c>
      <c r="G8" t="s">
        <v>428</v>
      </c>
      <c r="H8" t="s">
        <v>483</v>
      </c>
      <c r="I8" t="s">
        <v>428</v>
      </c>
      <c r="J8" t="s">
        <v>4</v>
      </c>
      <c r="N8" s="108" t="s">
        <v>1525</v>
      </c>
      <c r="O8" s="108"/>
      <c r="P8" s="108"/>
      <c r="Q8" s="108"/>
      <c r="R8" s="108">
        <v>4</v>
      </c>
      <c r="S8" s="108" t="s">
        <v>4</v>
      </c>
      <c r="T8" s="108" t="s">
        <v>1244</v>
      </c>
      <c r="U8" s="108" t="s">
        <v>1245</v>
      </c>
      <c r="V8" s="108" t="s">
        <v>1246</v>
      </c>
      <c r="Y8" t="s">
        <v>198</v>
      </c>
      <c r="Z8" t="s">
        <v>574</v>
      </c>
      <c r="AA8" t="s">
        <v>51</v>
      </c>
      <c r="AB8">
        <v>475064</v>
      </c>
      <c r="AC8">
        <v>475963</v>
      </c>
      <c r="AD8">
        <v>477824</v>
      </c>
      <c r="AE8" s="72">
        <v>476283.66666666669</v>
      </c>
      <c r="AI8" t="s">
        <v>4</v>
      </c>
      <c r="AJ8" s="405">
        <v>1.47E-2</v>
      </c>
      <c r="AK8" s="405">
        <v>1.49E-2</v>
      </c>
      <c r="AL8" s="405">
        <v>1.49E-2</v>
      </c>
      <c r="AM8" s="405">
        <v>1.46E-2</v>
      </c>
      <c r="AN8" s="405">
        <v>1.46E-2</v>
      </c>
      <c r="AO8" s="405">
        <v>1.46E-2</v>
      </c>
      <c r="AP8" s="405">
        <v>1.46E-2</v>
      </c>
      <c r="AS8" t="s">
        <v>4</v>
      </c>
      <c r="AT8">
        <v>0</v>
      </c>
      <c r="AU8">
        <v>0.43</v>
      </c>
      <c r="AV8">
        <v>0.33</v>
      </c>
      <c r="AW8">
        <v>0.09</v>
      </c>
      <c r="AX8">
        <v>0.16</v>
      </c>
      <c r="AY8">
        <v>0.17</v>
      </c>
      <c r="AZ8">
        <v>0.17</v>
      </c>
      <c r="BC8" t="s">
        <v>2</v>
      </c>
      <c r="BD8" t="s">
        <v>1497</v>
      </c>
      <c r="BE8" t="s">
        <v>932</v>
      </c>
      <c r="BF8" t="s">
        <v>59</v>
      </c>
      <c r="BG8" t="s">
        <v>748</v>
      </c>
      <c r="BH8">
        <v>0.1772273425499232</v>
      </c>
      <c r="BI8">
        <v>0.15</v>
      </c>
      <c r="BL8" s="90" t="str">
        <f>IFERROR(INDEX(Table_TCZs_RP2[TCZ_Name], MATCH(0, INDEX(COUNTIF($BL$5:BL7, Table_TCZs_RP2[TCZ_Name]), 0, 0), 0)), "")</f>
        <v>Denmark - TCZ</v>
      </c>
      <c r="BM8" s="90" t="str">
        <f>INDEX(Table_TCZs_RP2[TCZ_Code],MATCH(BL8,Table_TCZs_RP2[TCZ_Name],0))</f>
        <v>EK_TCZ</v>
      </c>
      <c r="BN8" t="str">
        <f>INDEX(Table_TCZs_RP2[Country_Name],MATCH(BL8,Table_TCZs_RP2[TCZ_Name],0))</f>
        <v>Denmark</v>
      </c>
      <c r="BO8">
        <v>101.40489999999998</v>
      </c>
      <c r="BR8" t="s">
        <v>4</v>
      </c>
      <c r="BS8" t="s">
        <v>892</v>
      </c>
      <c r="BT8" t="s">
        <v>892</v>
      </c>
      <c r="BV8" s="416" t="s">
        <v>4</v>
      </c>
      <c r="BW8" s="449">
        <v>99.611392648213453</v>
      </c>
      <c r="BX8" s="449">
        <v>102.41279999999999</v>
      </c>
      <c r="BZ8" s="438" t="s">
        <v>208</v>
      </c>
      <c r="CA8" s="439">
        <v>-3.1300000000000001E-2</v>
      </c>
      <c r="CC8" t="s">
        <v>3</v>
      </c>
      <c r="CD8" t="s">
        <v>425</v>
      </c>
      <c r="CE8" t="s">
        <v>897</v>
      </c>
      <c r="CF8" t="s">
        <v>1714</v>
      </c>
      <c r="CG8" t="str">
        <f>Table_Safety_Targets[[#This Row],[ANSP]]&amp;Table_Safety_Targets[[#This Row],[Safety Area]]</f>
        <v>ANS CRSafety promotion</v>
      </c>
    </row>
    <row r="9" spans="1:85">
      <c r="B9" t="s">
        <v>449</v>
      </c>
      <c r="C9" t="s">
        <v>514</v>
      </c>
      <c r="E9" t="s">
        <v>213</v>
      </c>
      <c r="F9" t="s">
        <v>212</v>
      </c>
      <c r="G9" t="s">
        <v>429</v>
      </c>
      <c r="H9" t="s">
        <v>484</v>
      </c>
      <c r="I9" t="s">
        <v>721</v>
      </c>
      <c r="J9" t="s">
        <v>213</v>
      </c>
      <c r="N9" s="108" t="s">
        <v>1526</v>
      </c>
      <c r="O9" s="108"/>
      <c r="P9" s="108"/>
      <c r="Q9" s="108"/>
      <c r="R9" s="108">
        <v>5</v>
      </c>
      <c r="S9" s="108" t="s">
        <v>213</v>
      </c>
      <c r="T9" s="108" t="s">
        <v>1247</v>
      </c>
      <c r="U9" s="108" t="s">
        <v>1248</v>
      </c>
      <c r="V9" s="108" t="s">
        <v>1249</v>
      </c>
      <c r="Y9" t="s">
        <v>127</v>
      </c>
      <c r="Z9" t="s">
        <v>575</v>
      </c>
      <c r="AA9" t="s">
        <v>11</v>
      </c>
      <c r="AB9">
        <v>391744</v>
      </c>
      <c r="AC9">
        <v>401849</v>
      </c>
      <c r="AD9">
        <v>410528</v>
      </c>
      <c r="AE9" s="72">
        <v>401373.66666666669</v>
      </c>
      <c r="AI9" t="s">
        <v>213</v>
      </c>
      <c r="AJ9" s="405">
        <v>3.8900000000000004E-2</v>
      </c>
      <c r="AK9" s="405">
        <v>4.1000000000000002E-2</v>
      </c>
      <c r="AL9" s="405">
        <v>4.1000000000000002E-2</v>
      </c>
      <c r="AM9" s="405">
        <v>3.8399999999999997E-2</v>
      </c>
      <c r="AN9" s="405">
        <v>3.8399999999999997E-2</v>
      </c>
      <c r="AO9" s="405">
        <v>3.8399999999999997E-2</v>
      </c>
      <c r="AP9" s="405">
        <v>3.8399999999999997E-2</v>
      </c>
      <c r="AS9" t="s">
        <v>213</v>
      </c>
      <c r="AT9">
        <v>0.20267900633219679</v>
      </c>
      <c r="AU9">
        <v>1</v>
      </c>
      <c r="AV9">
        <v>0.36</v>
      </c>
      <c r="AW9">
        <v>0.1</v>
      </c>
      <c r="AX9">
        <v>0.16</v>
      </c>
      <c r="AY9">
        <v>0.15</v>
      </c>
      <c r="AZ9">
        <v>0.15</v>
      </c>
      <c r="BC9" t="s">
        <v>2</v>
      </c>
      <c r="BD9" t="s">
        <v>1497</v>
      </c>
      <c r="BE9" t="s">
        <v>932</v>
      </c>
      <c r="BF9" t="s">
        <v>58</v>
      </c>
      <c r="BG9" t="s">
        <v>749</v>
      </c>
      <c r="BH9">
        <v>0</v>
      </c>
      <c r="BI9">
        <v>0.01</v>
      </c>
      <c r="BL9" s="90" t="str">
        <f>IFERROR(INDEX(Table_TCZs_RP2[TCZ_Name], MATCH(0, INDEX(COUNTIF($BL$5:BL8, Table_TCZs_RP2[TCZ_Name]), 0, 0), 0)), "")</f>
        <v>Estonia - TCZ</v>
      </c>
      <c r="BM9" s="90" t="str">
        <f>INDEX(Table_TCZs_RP2[TCZ_Code],MATCH(BL9,Table_TCZs_RP2[TCZ_Name],0))</f>
        <v>EE_TCZ</v>
      </c>
      <c r="BN9" t="str">
        <f>INDEX(Table_TCZs_RP2[Country_Name],MATCH(BL9,Table_TCZs_RP2[TCZ_Name],0))</f>
        <v>Estonia</v>
      </c>
      <c r="BO9">
        <v>105.7782</v>
      </c>
      <c r="BR9" t="s">
        <v>213</v>
      </c>
      <c r="BS9" t="s">
        <v>892</v>
      </c>
      <c r="BT9" t="s">
        <v>892</v>
      </c>
      <c r="BV9" s="415" t="s">
        <v>213</v>
      </c>
      <c r="BW9" s="449">
        <v>102.04162224709816</v>
      </c>
      <c r="BX9" s="449">
        <v>101.30399999999999</v>
      </c>
      <c r="BZ9" s="438" t="s">
        <v>216</v>
      </c>
      <c r="CA9" s="439">
        <v>-2.3099999999999999E-2</v>
      </c>
      <c r="CC9" t="s">
        <v>3</v>
      </c>
      <c r="CD9" t="s">
        <v>425</v>
      </c>
      <c r="CE9" t="s">
        <v>898</v>
      </c>
      <c r="CF9" t="s">
        <v>1714</v>
      </c>
      <c r="CG9" t="str">
        <f>Table_Safety_Targets[[#This Row],[ANSP]]&amp;Table_Safety_Targets[[#This Row],[Safety Area]]</f>
        <v>ANS CRSafety culture</v>
      </c>
    </row>
    <row r="10" spans="1:85">
      <c r="B10" t="s">
        <v>452</v>
      </c>
      <c r="C10" t="s">
        <v>515</v>
      </c>
      <c r="E10" t="s">
        <v>3</v>
      </c>
      <c r="F10" t="s">
        <v>1</v>
      </c>
      <c r="G10" t="s">
        <v>425</v>
      </c>
      <c r="H10" t="s">
        <v>485</v>
      </c>
      <c r="I10" t="s">
        <v>425</v>
      </c>
      <c r="J10" t="s">
        <v>3</v>
      </c>
      <c r="N10" s="108" t="s">
        <v>1527</v>
      </c>
      <c r="O10" s="108"/>
      <c r="P10" s="108"/>
      <c r="Q10" s="108"/>
      <c r="R10" s="108">
        <v>6</v>
      </c>
      <c r="S10" s="108" t="s">
        <v>3</v>
      </c>
      <c r="T10" s="108" t="s">
        <v>1250</v>
      </c>
      <c r="U10" s="108" t="s">
        <v>1251</v>
      </c>
      <c r="V10" s="108" t="s">
        <v>1252</v>
      </c>
      <c r="Y10" t="s">
        <v>185</v>
      </c>
      <c r="Z10" t="s">
        <v>576</v>
      </c>
      <c r="AA10" t="s">
        <v>47</v>
      </c>
      <c r="AB10">
        <v>378078</v>
      </c>
      <c r="AC10">
        <v>387517</v>
      </c>
      <c r="AD10">
        <v>409676</v>
      </c>
      <c r="AE10" s="72">
        <v>391757</v>
      </c>
      <c r="AI10" t="s">
        <v>3</v>
      </c>
      <c r="AJ10" s="405">
        <v>2.18E-2</v>
      </c>
      <c r="AK10" s="405">
        <v>2.2599999999999999E-2</v>
      </c>
      <c r="AL10" s="405">
        <v>2.2599999999999999E-2</v>
      </c>
      <c r="AM10" s="405">
        <v>2.0500000000000001E-2</v>
      </c>
      <c r="AN10" s="405">
        <v>2.0500000000000001E-2</v>
      </c>
      <c r="AO10" s="405">
        <v>2.0500000000000001E-2</v>
      </c>
      <c r="AP10" s="405">
        <v>2.0500000000000001E-2</v>
      </c>
      <c r="AS10" t="s">
        <v>3</v>
      </c>
      <c r="AT10">
        <v>2.6118576491435323E-3</v>
      </c>
      <c r="AU10">
        <v>0.2</v>
      </c>
      <c r="AV10">
        <v>0.2</v>
      </c>
      <c r="AW10">
        <v>0.06</v>
      </c>
      <c r="AX10">
        <v>0.11</v>
      </c>
      <c r="AY10">
        <v>0.11</v>
      </c>
      <c r="AZ10">
        <v>0.11</v>
      </c>
      <c r="BC10" t="s">
        <v>2</v>
      </c>
      <c r="BD10" t="s">
        <v>1497</v>
      </c>
      <c r="BE10" t="s">
        <v>932</v>
      </c>
      <c r="BF10" t="s">
        <v>60</v>
      </c>
      <c r="BG10" t="s">
        <v>750</v>
      </c>
      <c r="BH10">
        <v>0</v>
      </c>
      <c r="BI10">
        <v>0.01</v>
      </c>
      <c r="BL10" s="90" t="str">
        <f>IFERROR(INDEX(Table_TCZs_RP2[TCZ_Name], MATCH(0, INDEX(COUNTIF($BL$5:BL9, Table_TCZs_RP2[TCZ_Name]), 0, 0), 0)), "")</f>
        <v>Finland - TCZ</v>
      </c>
      <c r="BM10" s="90" t="str">
        <f>INDEX(Table_TCZs_RP2[TCZ_Code],MATCH(BL10,Table_TCZs_RP2[TCZ_Name],0))</f>
        <v>EF_TCZ</v>
      </c>
      <c r="BN10" t="str">
        <f>INDEX(Table_TCZs_RP2[Country_Name],MATCH(BL10,Table_TCZs_RP2[TCZ_Name],0))</f>
        <v>Finland</v>
      </c>
      <c r="BO10">
        <v>102.31319999999999</v>
      </c>
      <c r="BR10" t="s">
        <v>3</v>
      </c>
      <c r="BS10">
        <v>7.2368421052631582E-2</v>
      </c>
      <c r="BT10">
        <v>0.37</v>
      </c>
      <c r="BV10" s="416" t="s">
        <v>3</v>
      </c>
      <c r="BW10" s="449">
        <v>96.78345678669757</v>
      </c>
      <c r="BX10" s="449">
        <v>104.652</v>
      </c>
      <c r="BZ10" s="438" t="s">
        <v>1604</v>
      </c>
      <c r="CA10" s="439">
        <v>-2.1600000000000001E-2</v>
      </c>
      <c r="CC10" t="s">
        <v>47</v>
      </c>
      <c r="CD10" t="s">
        <v>433</v>
      </c>
      <c r="CE10" t="s">
        <v>894</v>
      </c>
      <c r="CF10" t="s">
        <v>1715</v>
      </c>
      <c r="CG10" t="str">
        <f>Table_Safety_Targets[[#This Row],[ANSP]]&amp;Table_Safety_Targets[[#This Row],[Safety Area]]</f>
        <v>ENAIRESafety policy and objectives</v>
      </c>
    </row>
    <row r="11" spans="1:85">
      <c r="B11" t="s">
        <v>472</v>
      </c>
      <c r="C11" t="s">
        <v>516</v>
      </c>
      <c r="E11" t="s">
        <v>221</v>
      </c>
      <c r="F11" t="s">
        <v>220</v>
      </c>
      <c r="G11" t="s">
        <v>442</v>
      </c>
      <c r="H11" t="s">
        <v>486</v>
      </c>
      <c r="I11" t="s">
        <v>442</v>
      </c>
      <c r="J11" t="s">
        <v>221</v>
      </c>
      <c r="N11" s="108" t="s">
        <v>1528</v>
      </c>
      <c r="O11" s="108"/>
      <c r="P11" s="108"/>
      <c r="Q11" s="108"/>
      <c r="R11" s="108">
        <v>7</v>
      </c>
      <c r="S11" s="108" t="s">
        <v>221</v>
      </c>
      <c r="T11" s="108" t="s">
        <v>1253</v>
      </c>
      <c r="U11" s="108" t="s">
        <v>762</v>
      </c>
      <c r="V11" s="108" t="s">
        <v>1254</v>
      </c>
      <c r="Y11" t="s">
        <v>186</v>
      </c>
      <c r="Z11" t="s">
        <v>577</v>
      </c>
      <c r="AA11" t="s">
        <v>47</v>
      </c>
      <c r="AB11">
        <v>307805</v>
      </c>
      <c r="AC11">
        <v>323471</v>
      </c>
      <c r="AD11">
        <v>335634</v>
      </c>
      <c r="AE11" s="72">
        <v>322303.33333333331</v>
      </c>
      <c r="AI11" t="s">
        <v>221</v>
      </c>
      <c r="AJ11" s="405">
        <v>1.1200000000000002E-2</v>
      </c>
      <c r="AK11" s="405">
        <v>1.21E-2</v>
      </c>
      <c r="AL11" s="405">
        <v>1.21E-2</v>
      </c>
      <c r="AM11" s="405">
        <v>1.14E-2</v>
      </c>
      <c r="AN11" s="405">
        <v>1.14E-2</v>
      </c>
      <c r="AO11" s="405">
        <v>1.14E-2</v>
      </c>
      <c r="AP11" s="405">
        <v>1.14E-2</v>
      </c>
      <c r="AS11" t="s">
        <v>221</v>
      </c>
      <c r="AT11">
        <v>2.604482564237957E-4</v>
      </c>
      <c r="AU11">
        <v>7.0000000000000007E-2</v>
      </c>
      <c r="AV11">
        <v>0.14000000000000001</v>
      </c>
      <c r="AW11">
        <v>0.03</v>
      </c>
      <c r="AX11">
        <v>0.06</v>
      </c>
      <c r="AY11">
        <v>0.06</v>
      </c>
      <c r="AZ11">
        <v>0.05</v>
      </c>
      <c r="BC11" t="s">
        <v>9</v>
      </c>
      <c r="BD11" t="s">
        <v>754</v>
      </c>
      <c r="BE11" t="s">
        <v>934</v>
      </c>
      <c r="BF11" t="s">
        <v>61</v>
      </c>
      <c r="BG11" t="s">
        <v>587</v>
      </c>
      <c r="BH11">
        <v>0.37509305075097432</v>
      </c>
      <c r="BI11">
        <v>1.82</v>
      </c>
      <c r="BL11" s="90" t="str">
        <f>IFERROR(INDEX(Table_TCZs_RP2[TCZ_Name], MATCH(0, INDEX(COUNTIF($BL$5:BL10, Table_TCZs_RP2[TCZ_Name]), 0, 0), 0)), "")</f>
        <v>France - Zone 1</v>
      </c>
      <c r="BM11" s="90" t="str">
        <f>INDEX(Table_TCZs_RP2[TCZ_Code],MATCH(BL11,Table_TCZs_RP2[TCZ_Name],0))</f>
        <v>LF_TCZ_1</v>
      </c>
      <c r="BN11" t="str">
        <f>INDEX(Table_TCZs_RP2[Country_Name],MATCH(BL11,Table_TCZs_RP2[TCZ_Name],0))</f>
        <v>France</v>
      </c>
      <c r="BO11">
        <v>103.42729999999999</v>
      </c>
      <c r="BR11" t="s">
        <v>221</v>
      </c>
      <c r="BS11">
        <v>0</v>
      </c>
      <c r="BT11">
        <v>0.1</v>
      </c>
      <c r="BV11" s="415" t="s">
        <v>221</v>
      </c>
      <c r="BW11" s="449">
        <v>98.714539269630876</v>
      </c>
      <c r="BX11" s="449">
        <v>101.40489999999998</v>
      </c>
      <c r="BZ11" s="438" t="s">
        <v>13</v>
      </c>
      <c r="CA11" s="439">
        <v>-1.9699999999999999E-2</v>
      </c>
      <c r="CC11" t="s">
        <v>47</v>
      </c>
      <c r="CD11" t="s">
        <v>433</v>
      </c>
      <c r="CE11" t="s">
        <v>895</v>
      </c>
      <c r="CF11" t="s">
        <v>1715</v>
      </c>
      <c r="CG11" t="str">
        <f>Table_Safety_Targets[[#This Row],[ANSP]]&amp;Table_Safety_Targets[[#This Row],[Safety Area]]</f>
        <v>ENAIRESafety risk management</v>
      </c>
    </row>
    <row r="12" spans="1:85">
      <c r="B12" t="s">
        <v>462</v>
      </c>
      <c r="C12" t="s">
        <v>462</v>
      </c>
      <c r="E12" t="s">
        <v>16</v>
      </c>
      <c r="F12" t="s">
        <v>15</v>
      </c>
      <c r="G12" t="s">
        <v>432</v>
      </c>
      <c r="H12" t="s">
        <v>487</v>
      </c>
      <c r="I12" t="s">
        <v>432</v>
      </c>
      <c r="J12" t="s">
        <v>16</v>
      </c>
      <c r="N12" s="108" t="s">
        <v>1529</v>
      </c>
      <c r="O12" s="108"/>
      <c r="P12" s="108"/>
      <c r="Q12" s="108"/>
      <c r="R12" s="108">
        <v>8</v>
      </c>
      <c r="S12" s="108" t="s">
        <v>16</v>
      </c>
      <c r="T12" s="108" t="s">
        <v>1255</v>
      </c>
      <c r="U12" s="108" t="s">
        <v>1256</v>
      </c>
      <c r="V12" s="108" t="s">
        <v>1257</v>
      </c>
      <c r="Y12" t="s">
        <v>144</v>
      </c>
      <c r="Z12" t="s">
        <v>578</v>
      </c>
      <c r="AA12" t="s">
        <v>215</v>
      </c>
      <c r="AB12">
        <v>313936</v>
      </c>
      <c r="AC12">
        <v>297395</v>
      </c>
      <c r="AD12">
        <v>307619</v>
      </c>
      <c r="AE12" s="72">
        <v>306316.66666666669</v>
      </c>
      <c r="AI12" t="s">
        <v>16</v>
      </c>
      <c r="AJ12" s="405">
        <v>1.21E-2</v>
      </c>
      <c r="AK12" s="405">
        <v>1.3299999999999999E-2</v>
      </c>
      <c r="AL12" s="405">
        <v>1.3299999999999999E-2</v>
      </c>
      <c r="AM12" s="405">
        <v>1.2200000000000001E-2</v>
      </c>
      <c r="AN12" s="405">
        <v>1.2200000000000001E-2</v>
      </c>
      <c r="AO12" s="405">
        <v>1.2200000000000001E-2</v>
      </c>
      <c r="AP12" s="405">
        <v>1.2200000000000001E-2</v>
      </c>
      <c r="AS12" t="s">
        <v>16</v>
      </c>
      <c r="AT12">
        <v>0</v>
      </c>
      <c r="AU12">
        <v>0.05</v>
      </c>
      <c r="AV12">
        <v>0.05</v>
      </c>
      <c r="AW12">
        <v>0.01</v>
      </c>
      <c r="AX12">
        <v>0.03</v>
      </c>
      <c r="AY12">
        <v>0.03</v>
      </c>
      <c r="AZ12">
        <v>0.03</v>
      </c>
      <c r="BC12" t="s">
        <v>3</v>
      </c>
      <c r="BD12" t="s">
        <v>1501</v>
      </c>
      <c r="BE12" t="s">
        <v>941</v>
      </c>
      <c r="BF12" t="s">
        <v>62</v>
      </c>
      <c r="BG12" t="s">
        <v>598</v>
      </c>
      <c r="BH12">
        <v>8.8607090162300117E-2</v>
      </c>
      <c r="BI12">
        <v>0.4</v>
      </c>
      <c r="BL12" s="90" t="str">
        <f>IFERROR(INDEX(Table_TCZs_RP2[TCZ_Name], MATCH(0, INDEX(COUNTIF($BL$5:BL11, Table_TCZs_RP2[TCZ_Name]), 0, 0), 0)), "")</f>
        <v>France - Zone 2</v>
      </c>
      <c r="BM12" s="90" t="str">
        <f>INDEX(Table_TCZs_RP2[TCZ_Code],MATCH(BL12,Table_TCZs_RP2[TCZ_Name],0))</f>
        <v>LF_TCZ_2</v>
      </c>
      <c r="BN12" t="str">
        <f>INDEX(Table_TCZs_RP2[Country_Name],MATCH(BL12,Table_TCZs_RP2[TCZ_Name],0))</f>
        <v>France</v>
      </c>
      <c r="BO12">
        <v>103.42729999999999</v>
      </c>
      <c r="BR12" t="s">
        <v>16</v>
      </c>
      <c r="BS12">
        <v>0</v>
      </c>
      <c r="BT12">
        <v>0</v>
      </c>
      <c r="BV12" s="416" t="s">
        <v>16</v>
      </c>
      <c r="BW12" s="449">
        <v>95.571110862473319</v>
      </c>
      <c r="BX12" s="449">
        <v>105.7782</v>
      </c>
      <c r="BZ12" s="438" t="s">
        <v>7</v>
      </c>
      <c r="CA12" s="439">
        <v>-1.4999999999999999E-2</v>
      </c>
      <c r="CC12" t="s">
        <v>47</v>
      </c>
      <c r="CD12" t="s">
        <v>433</v>
      </c>
      <c r="CE12" t="s">
        <v>896</v>
      </c>
      <c r="CF12" t="s">
        <v>1715</v>
      </c>
      <c r="CG12" t="str">
        <f>Table_Safety_Targets[[#This Row],[ANSP]]&amp;Table_Safety_Targets[[#This Row],[Safety Area]]</f>
        <v>ENAIRESafety assurance</v>
      </c>
    </row>
    <row r="13" spans="1:85">
      <c r="B13" t="s">
        <v>453</v>
      </c>
      <c r="C13" t="s">
        <v>517</v>
      </c>
      <c r="E13" t="s">
        <v>17</v>
      </c>
      <c r="F13" t="s">
        <v>15</v>
      </c>
      <c r="G13" t="s">
        <v>1691</v>
      </c>
      <c r="H13" t="s">
        <v>488</v>
      </c>
      <c r="I13" t="s">
        <v>1691</v>
      </c>
      <c r="J13" t="s">
        <v>17</v>
      </c>
      <c r="N13" s="108" t="s">
        <v>1530</v>
      </c>
      <c r="O13" s="108"/>
      <c r="P13" s="108"/>
      <c r="Q13" s="108"/>
      <c r="R13" s="108">
        <v>9</v>
      </c>
      <c r="S13" s="108" t="s">
        <v>17</v>
      </c>
      <c r="T13" s="108" t="s">
        <v>1258</v>
      </c>
      <c r="U13" s="108" t="s">
        <v>1259</v>
      </c>
      <c r="V13" s="108" t="s">
        <v>1260</v>
      </c>
      <c r="Y13" t="s">
        <v>199</v>
      </c>
      <c r="Z13" t="s">
        <v>579</v>
      </c>
      <c r="AA13" t="s">
        <v>51</v>
      </c>
      <c r="AB13">
        <v>280080</v>
      </c>
      <c r="AC13">
        <v>285945</v>
      </c>
      <c r="AD13">
        <v>283965</v>
      </c>
      <c r="AE13" s="72">
        <v>283330</v>
      </c>
      <c r="AI13" t="s">
        <v>17</v>
      </c>
      <c r="AJ13" s="405">
        <v>8.8000000000000005E-3</v>
      </c>
      <c r="AK13" s="405">
        <v>9.7000000000000003E-3</v>
      </c>
      <c r="AL13" s="405">
        <v>9.7000000000000003E-3</v>
      </c>
      <c r="AM13" s="405">
        <v>8.8000000000000005E-3</v>
      </c>
      <c r="AN13" s="405">
        <v>8.8000000000000005E-3</v>
      </c>
      <c r="AO13" s="405">
        <v>8.8000000000000005E-3</v>
      </c>
      <c r="AP13" s="405">
        <v>8.8000000000000005E-3</v>
      </c>
      <c r="AS13" t="s">
        <v>17</v>
      </c>
      <c r="AT13">
        <v>0</v>
      </c>
      <c r="AU13">
        <v>0.09</v>
      </c>
      <c r="AV13">
        <v>0.09</v>
      </c>
      <c r="AW13">
        <v>0.03</v>
      </c>
      <c r="AX13">
        <v>0.05</v>
      </c>
      <c r="AY13">
        <v>0.05</v>
      </c>
      <c r="AZ13">
        <v>0.05</v>
      </c>
      <c r="BC13" t="s">
        <v>3</v>
      </c>
      <c r="BD13" t="s">
        <v>1501</v>
      </c>
      <c r="BE13" t="s">
        <v>941</v>
      </c>
      <c r="BF13" t="s">
        <v>64</v>
      </c>
      <c r="BG13" t="s">
        <v>759</v>
      </c>
      <c r="BH13">
        <v>0</v>
      </c>
      <c r="BI13">
        <v>0.1</v>
      </c>
      <c r="BL13" s="90" t="str">
        <f>IFERROR(INDEX(Table_TCZs_RP2[TCZ_Name], MATCH(0, INDEX(COUNTIF($BL$5:BL12, Table_TCZs_RP2[TCZ_Name]), 0, 0), 0)), "")</f>
        <v>Germany - TCZ</v>
      </c>
      <c r="BM13" s="90" t="str">
        <f>INDEX(Table_TCZs_RP2[TCZ_Code],MATCH(BL13,Table_TCZs_RP2[TCZ_Name],0))</f>
        <v>ED_TCZ</v>
      </c>
      <c r="BN13" t="str">
        <f>INDEX(Table_TCZs_RP2[Country_Name],MATCH(BL13,Table_TCZs_RP2[TCZ_Name],0))</f>
        <v>Germany</v>
      </c>
      <c r="BO13">
        <v>103.3266</v>
      </c>
      <c r="BR13" t="s">
        <v>17</v>
      </c>
      <c r="BS13">
        <v>0.19784083729362964</v>
      </c>
      <c r="BT13">
        <v>0.39</v>
      </c>
      <c r="BV13" s="415" t="s">
        <v>17</v>
      </c>
      <c r="BW13" s="449">
        <v>99.009123033266945</v>
      </c>
      <c r="BX13" s="449">
        <v>102.31319999999999</v>
      </c>
      <c r="BZ13" s="438" t="s">
        <v>1605</v>
      </c>
      <c r="CA13" s="439">
        <v>-1.2800000000000001E-2</v>
      </c>
      <c r="CC13" t="s">
        <v>47</v>
      </c>
      <c r="CD13" t="s">
        <v>433</v>
      </c>
      <c r="CE13" t="s">
        <v>897</v>
      </c>
      <c r="CF13" t="s">
        <v>1715</v>
      </c>
      <c r="CG13" t="str">
        <f>Table_Safety_Targets[[#This Row],[ANSP]]&amp;Table_Safety_Targets[[#This Row],[Safety Area]]</f>
        <v>ENAIRESafety promotion</v>
      </c>
    </row>
    <row r="14" spans="1:85">
      <c r="B14" t="s">
        <v>461</v>
      </c>
      <c r="C14" t="s">
        <v>518</v>
      </c>
      <c r="E14" t="s">
        <v>10</v>
      </c>
      <c r="F14" t="s">
        <v>8</v>
      </c>
      <c r="G14" t="s">
        <v>431</v>
      </c>
      <c r="H14" t="s">
        <v>489</v>
      </c>
      <c r="I14" t="s">
        <v>431</v>
      </c>
      <c r="J14" t="s">
        <v>10</v>
      </c>
      <c r="N14" s="108" t="s">
        <v>1531</v>
      </c>
      <c r="R14">
        <v>10</v>
      </c>
      <c r="S14" t="s">
        <v>10</v>
      </c>
      <c r="T14" t="s">
        <v>1261</v>
      </c>
      <c r="U14" t="s">
        <v>1262</v>
      </c>
      <c r="V14" t="s">
        <v>1263</v>
      </c>
      <c r="Y14" t="s">
        <v>192</v>
      </c>
      <c r="Z14" t="s">
        <v>580</v>
      </c>
      <c r="AA14" t="s">
        <v>14</v>
      </c>
      <c r="AB14">
        <v>262610</v>
      </c>
      <c r="AC14">
        <v>263549</v>
      </c>
      <c r="AD14">
        <v>271578</v>
      </c>
      <c r="AE14" s="72">
        <v>265912.33333333331</v>
      </c>
      <c r="AI14" t="s">
        <v>10</v>
      </c>
      <c r="AJ14" s="405"/>
      <c r="AK14" s="405">
        <v>3.3300000000000003E-2</v>
      </c>
      <c r="AL14" s="405">
        <v>2.9000000000000001E-2</v>
      </c>
      <c r="AM14" s="405">
        <v>2.92E-2</v>
      </c>
      <c r="AN14" s="405">
        <v>2.8299999999999999E-2</v>
      </c>
      <c r="AO14" s="405">
        <v>2.8299999999999999E-2</v>
      </c>
      <c r="AP14" s="405">
        <v>2.8299999999999999E-2</v>
      </c>
      <c r="AS14" t="s">
        <v>10</v>
      </c>
      <c r="AT14">
        <v>0.60782207027573742</v>
      </c>
      <c r="AU14">
        <v>3.12</v>
      </c>
      <c r="AV14" t="s">
        <v>227</v>
      </c>
      <c r="AW14">
        <v>0.18</v>
      </c>
      <c r="AX14">
        <v>0.25</v>
      </c>
      <c r="AY14">
        <v>0.25</v>
      </c>
      <c r="AZ14">
        <v>0.25</v>
      </c>
      <c r="BC14" t="s">
        <v>3</v>
      </c>
      <c r="BD14" t="s">
        <v>1501</v>
      </c>
      <c r="BE14" t="s">
        <v>941</v>
      </c>
      <c r="BF14" t="s">
        <v>63</v>
      </c>
      <c r="BG14" t="s">
        <v>760</v>
      </c>
      <c r="BH14">
        <v>0</v>
      </c>
      <c r="BI14">
        <v>0.1</v>
      </c>
      <c r="BL14" s="90" t="str">
        <f>IFERROR(INDEX(Table_TCZs_RP2[TCZ_Name], MATCH(0, INDEX(COUNTIF($BL$5:BL13, Table_TCZs_RP2[TCZ_Name]), 0, 0), 0)), "")</f>
        <v>Greece - TCZ</v>
      </c>
      <c r="BM14" s="90" t="str">
        <f>INDEX(Table_TCZs_RP2[TCZ_Code],MATCH(BL14,Table_TCZs_RP2[TCZ_Name],0))</f>
        <v>LG_TCZ</v>
      </c>
      <c r="BN14" t="str">
        <f>INDEX(Table_TCZs_RP2[Country_Name],MATCH(BL14,Table_TCZs_RP2[TCZ_Name],0))</f>
        <v>Greece</v>
      </c>
      <c r="BO14">
        <v>101.30399999999999</v>
      </c>
      <c r="BR14" t="s">
        <v>10</v>
      </c>
      <c r="BS14">
        <v>0.30042078281482154</v>
      </c>
      <c r="BT14">
        <v>0.4</v>
      </c>
      <c r="BV14" s="416" t="s">
        <v>10</v>
      </c>
      <c r="BW14" s="449">
        <v>98.459190238183282</v>
      </c>
      <c r="BX14" s="449">
        <v>103.42729999999999</v>
      </c>
      <c r="BZ14" s="438" t="s">
        <v>5</v>
      </c>
      <c r="CA14" s="439">
        <v>-1.1900000000000001E-2</v>
      </c>
      <c r="CC14" t="s">
        <v>47</v>
      </c>
      <c r="CD14" t="s">
        <v>433</v>
      </c>
      <c r="CE14" t="s">
        <v>898</v>
      </c>
      <c r="CF14" t="s">
        <v>1715</v>
      </c>
      <c r="CG14" t="str">
        <f>Table_Safety_Targets[[#This Row],[ANSP]]&amp;Table_Safety_Targets[[#This Row],[Safety Area]]</f>
        <v>ENAIRESafety culture</v>
      </c>
    </row>
    <row r="15" spans="1:85">
      <c r="B15" t="s">
        <v>460</v>
      </c>
      <c r="C15" t="s">
        <v>519</v>
      </c>
      <c r="E15" t="s">
        <v>11</v>
      </c>
      <c r="F15" t="s">
        <v>8</v>
      </c>
      <c r="G15" t="s">
        <v>430</v>
      </c>
      <c r="H15" t="s">
        <v>490</v>
      </c>
      <c r="I15" t="s">
        <v>430</v>
      </c>
      <c r="J15" t="s">
        <v>11</v>
      </c>
      <c r="N15" s="108" t="s">
        <v>1532</v>
      </c>
      <c r="R15">
        <v>11</v>
      </c>
      <c r="S15" t="s">
        <v>10</v>
      </c>
      <c r="T15" t="s">
        <v>1264</v>
      </c>
      <c r="U15" t="s">
        <v>1265</v>
      </c>
      <c r="V15" t="s">
        <v>1266</v>
      </c>
      <c r="Y15" t="s">
        <v>66</v>
      </c>
      <c r="Z15" t="s">
        <v>581</v>
      </c>
      <c r="AA15" t="s">
        <v>221</v>
      </c>
      <c r="AB15">
        <v>265768</v>
      </c>
      <c r="AC15">
        <v>259310</v>
      </c>
      <c r="AD15">
        <v>266207</v>
      </c>
      <c r="AE15" s="72">
        <v>263761.66666666669</v>
      </c>
      <c r="AI15" t="s">
        <v>11</v>
      </c>
      <c r="AJ15" s="405"/>
      <c r="AK15" s="405">
        <v>3.2399999999999998E-2</v>
      </c>
      <c r="AL15" s="405">
        <v>0</v>
      </c>
      <c r="AM15" s="405">
        <v>2.3099999999999999E-2</v>
      </c>
      <c r="AN15" s="405">
        <v>2.3E-2</v>
      </c>
      <c r="AO15" s="405">
        <v>2.3E-2</v>
      </c>
      <c r="AP15" s="405">
        <v>2.3E-2</v>
      </c>
      <c r="AS15" t="s">
        <v>11</v>
      </c>
      <c r="AT15">
        <v>0.17748722419023158</v>
      </c>
      <c r="AU15">
        <v>2.73</v>
      </c>
      <c r="AV15" t="s">
        <v>227</v>
      </c>
      <c r="AW15">
        <v>0.18</v>
      </c>
      <c r="AX15">
        <v>0.24</v>
      </c>
      <c r="AY15">
        <v>0.25</v>
      </c>
      <c r="AZ15">
        <v>0.24</v>
      </c>
      <c r="BC15" t="s">
        <v>3</v>
      </c>
      <c r="BD15" t="s">
        <v>1501</v>
      </c>
      <c r="BE15" t="s">
        <v>941</v>
      </c>
      <c r="BF15" t="s">
        <v>65</v>
      </c>
      <c r="BG15" t="s">
        <v>761</v>
      </c>
      <c r="BH15">
        <v>0</v>
      </c>
      <c r="BI15">
        <v>0.1</v>
      </c>
      <c r="BL15" s="90" t="str">
        <f>IFERROR(INDEX(Table_TCZs_RP2[TCZ_Name], MATCH(0, INDEX(COUNTIF($BL$5:BL14, Table_TCZs_RP2[TCZ_Name]), 0, 0), 0)), "")</f>
        <v>Hungary - TCZ</v>
      </c>
      <c r="BM15" s="90" t="str">
        <f>INDEX(Table_TCZs_RP2[TCZ_Code],MATCH(BL15,Table_TCZs_RP2[TCZ_Name],0))</f>
        <v>LH_TCZ</v>
      </c>
      <c r="BN15" t="str">
        <f>INDEX(Table_TCZs_RP2[Country_Name],MATCH(BL15,Table_TCZs_RP2[TCZ_Name],0))</f>
        <v>Hungary</v>
      </c>
      <c r="BO15">
        <v>106.39859999999999</v>
      </c>
      <c r="BR15" t="s">
        <v>11</v>
      </c>
      <c r="BS15">
        <v>0.10061088844279273</v>
      </c>
      <c r="BT15">
        <v>0.66</v>
      </c>
      <c r="BV15" s="415" t="s">
        <v>11</v>
      </c>
      <c r="BW15" s="449">
        <v>97.838831400161325</v>
      </c>
      <c r="BX15" s="449">
        <v>103.3266</v>
      </c>
      <c r="BZ15" s="438" t="s">
        <v>3</v>
      </c>
      <c r="CA15" s="439">
        <v>-1.11E-2</v>
      </c>
      <c r="CC15" t="s">
        <v>47</v>
      </c>
      <c r="CD15" t="s">
        <v>1716</v>
      </c>
      <c r="CE15" t="s">
        <v>894</v>
      </c>
      <c r="CF15" t="s">
        <v>1715</v>
      </c>
      <c r="CG15" t="str">
        <f>Table_Safety_Targets[[#This Row],[ANSP]]&amp;Table_Safety_Targets[[#This Row],[Safety Area]]</f>
        <v>FERRONATSSafety policy and objectives</v>
      </c>
    </row>
    <row r="16" spans="1:85">
      <c r="B16" t="s">
        <v>451</v>
      </c>
      <c r="C16" t="s">
        <v>520</v>
      </c>
      <c r="E16" t="s">
        <v>214</v>
      </c>
      <c r="F16" t="s">
        <v>212</v>
      </c>
      <c r="G16" t="s">
        <v>435</v>
      </c>
      <c r="H16" t="s">
        <v>491</v>
      </c>
      <c r="I16" t="s">
        <v>722</v>
      </c>
      <c r="J16" t="s">
        <v>214</v>
      </c>
      <c r="R16">
        <v>12</v>
      </c>
      <c r="S16" t="s">
        <v>10</v>
      </c>
      <c r="T16" t="s">
        <v>1267</v>
      </c>
      <c r="U16" t="s">
        <v>1268</v>
      </c>
      <c r="V16" t="s">
        <v>1269</v>
      </c>
      <c r="Y16" t="s">
        <v>160</v>
      </c>
      <c r="Z16" t="s">
        <v>582</v>
      </c>
      <c r="AA16" t="s">
        <v>42</v>
      </c>
      <c r="AB16">
        <v>245093</v>
      </c>
      <c r="AC16">
        <v>251193</v>
      </c>
      <c r="AD16">
        <v>257474</v>
      </c>
      <c r="AE16" s="72">
        <v>251253.33333333334</v>
      </c>
      <c r="AI16" t="s">
        <v>214</v>
      </c>
      <c r="AJ16" s="405">
        <v>2.5099999999999997E-2</v>
      </c>
      <c r="AK16" s="405">
        <v>1.9400000000000001E-2</v>
      </c>
      <c r="AL16" s="405">
        <v>1.9400000000000001E-2</v>
      </c>
      <c r="AM16" s="405">
        <v>0.02</v>
      </c>
      <c r="AN16" s="405">
        <v>1.9199999999999998E-2</v>
      </c>
      <c r="AO16" s="405">
        <v>1.9199999999999998E-2</v>
      </c>
      <c r="AP16" s="405">
        <v>1.9199999999999998E-2</v>
      </c>
      <c r="AS16" t="s">
        <v>214</v>
      </c>
      <c r="AT16">
        <v>1.5430121165680271E-2</v>
      </c>
      <c r="AU16">
        <v>0.34</v>
      </c>
      <c r="AV16">
        <v>0.34</v>
      </c>
      <c r="AW16">
        <v>0.1</v>
      </c>
      <c r="AX16">
        <v>0.14000000000000001</v>
      </c>
      <c r="AY16">
        <v>0.15</v>
      </c>
      <c r="AZ16">
        <v>0.15</v>
      </c>
      <c r="BC16" t="s">
        <v>221</v>
      </c>
      <c r="BD16" t="s">
        <v>1502</v>
      </c>
      <c r="BE16" t="s">
        <v>942</v>
      </c>
      <c r="BF16" t="s">
        <v>66</v>
      </c>
      <c r="BG16" t="s">
        <v>762</v>
      </c>
      <c r="BH16">
        <v>0</v>
      </c>
      <c r="BI16">
        <v>0.1</v>
      </c>
      <c r="BL16" s="90" t="str">
        <f>IFERROR(INDEX(Table_TCZs_RP2[TCZ_Name], MATCH(0, INDEX(COUNTIF($BL$5:BL15, Table_TCZs_RP2[TCZ_Name]), 0, 0), 0)), "")</f>
        <v>Ireland - TCZ</v>
      </c>
      <c r="BM16" s="90" t="str">
        <f>INDEX(Table_TCZs_RP2[TCZ_Code],MATCH(BL16,Table_TCZs_RP2[TCZ_Name],0))</f>
        <v>EI_TCZ</v>
      </c>
      <c r="BN16" t="str">
        <f>INDEX(Table_TCZs_RP2[Country_Name],MATCH(BL16,Table_TCZs_RP2[TCZ_Name],0))</f>
        <v>Ireland</v>
      </c>
      <c r="BO16">
        <v>101.60629999999998</v>
      </c>
      <c r="BR16" t="s">
        <v>214</v>
      </c>
      <c r="BS16">
        <v>4.1228246747305436E-2</v>
      </c>
      <c r="BT16">
        <v>1.2</v>
      </c>
      <c r="BV16" s="416" t="s">
        <v>214</v>
      </c>
      <c r="BW16" s="449">
        <v>100.01210146427718</v>
      </c>
      <c r="BX16" s="449">
        <v>101.30399999999999</v>
      </c>
      <c r="BZ16" s="438" t="s">
        <v>213</v>
      </c>
      <c r="CA16" s="439">
        <v>-8.5000000000000006E-3</v>
      </c>
      <c r="CC16" t="s">
        <v>47</v>
      </c>
      <c r="CD16" t="s">
        <v>1716</v>
      </c>
      <c r="CE16" t="s">
        <v>895</v>
      </c>
      <c r="CF16" t="s">
        <v>1715</v>
      </c>
      <c r="CG16" t="str">
        <f>Table_Safety_Targets[[#This Row],[ANSP]]&amp;Table_Safety_Targets[[#This Row],[Safety Area]]</f>
        <v>FERRONATSSafety risk management</v>
      </c>
    </row>
    <row r="17" spans="2:85">
      <c r="B17" t="s">
        <v>448</v>
      </c>
      <c r="C17" t="s">
        <v>521</v>
      </c>
      <c r="E17" t="s">
        <v>5</v>
      </c>
      <c r="F17" t="s">
        <v>1</v>
      </c>
      <c r="G17" t="s">
        <v>492</v>
      </c>
      <c r="H17" t="s">
        <v>493</v>
      </c>
      <c r="I17" t="s">
        <v>724</v>
      </c>
      <c r="J17" t="s">
        <v>5</v>
      </c>
      <c r="R17">
        <v>13</v>
      </c>
      <c r="S17" t="s">
        <v>10</v>
      </c>
      <c r="T17" t="s">
        <v>1270</v>
      </c>
      <c r="U17" t="s">
        <v>1271</v>
      </c>
      <c r="V17" t="s">
        <v>1272</v>
      </c>
      <c r="Y17" t="s">
        <v>55</v>
      </c>
      <c r="Z17" t="s">
        <v>583</v>
      </c>
      <c r="AA17" t="s">
        <v>2</v>
      </c>
      <c r="AB17">
        <v>241775</v>
      </c>
      <c r="AC17">
        <v>240095</v>
      </c>
      <c r="AD17">
        <v>256393</v>
      </c>
      <c r="AE17" s="72">
        <v>246087.66666666666</v>
      </c>
      <c r="AI17" t="s">
        <v>5</v>
      </c>
      <c r="AJ17" s="405">
        <v>1.5100000000000001E-2</v>
      </c>
      <c r="AK17" s="405">
        <v>1.4500000000000001E-2</v>
      </c>
      <c r="AL17" s="405">
        <v>1.4500000000000001E-2</v>
      </c>
      <c r="AM17" s="405">
        <v>1.4999999999999999E-2</v>
      </c>
      <c r="AN17" s="405">
        <v>1.49E-2</v>
      </c>
      <c r="AO17" s="405">
        <v>1.49E-2</v>
      </c>
      <c r="AP17" s="405">
        <v>1.49E-2</v>
      </c>
      <c r="AS17" t="s">
        <v>5</v>
      </c>
      <c r="AT17">
        <v>0</v>
      </c>
      <c r="AU17">
        <v>0.9</v>
      </c>
      <c r="AV17">
        <v>0.14000000000000001</v>
      </c>
      <c r="AW17">
        <v>0.06</v>
      </c>
      <c r="AX17">
        <v>0.11</v>
      </c>
      <c r="AY17">
        <v>0.11</v>
      </c>
      <c r="AZ17">
        <v>0.11</v>
      </c>
      <c r="BC17" t="s">
        <v>16</v>
      </c>
      <c r="BD17" t="s">
        <v>1503</v>
      </c>
      <c r="BE17" t="s">
        <v>943</v>
      </c>
      <c r="BF17" t="s">
        <v>67</v>
      </c>
      <c r="BG17" t="s">
        <v>763</v>
      </c>
      <c r="BH17">
        <v>0</v>
      </c>
      <c r="BI17">
        <v>0</v>
      </c>
      <c r="BL17" s="90" t="str">
        <f>IFERROR(INDEX(Table_TCZs_RP2[TCZ_Name], MATCH(0, INDEX(COUNTIF($BL$5:BL16, Table_TCZs_RP2[TCZ_Name]), 0, 0), 0)), "")</f>
        <v>Italy - Zone 1</v>
      </c>
      <c r="BM17" s="90" t="str">
        <f>INDEX(Table_TCZs_RP2[TCZ_Code],MATCH(BL17,Table_TCZs_RP2[TCZ_Name],0))</f>
        <v>LI_TCZ_1</v>
      </c>
      <c r="BN17" t="str">
        <f>INDEX(Table_TCZs_RP2[Country_Name],MATCH(BL17,Table_TCZs_RP2[TCZ_Name],0))</f>
        <v>Italy</v>
      </c>
      <c r="BO17">
        <v>101.80720000000001</v>
      </c>
      <c r="BR17" t="s">
        <v>5</v>
      </c>
      <c r="BS17">
        <v>7.9926350587939912E-2</v>
      </c>
      <c r="BT17">
        <v>0.05</v>
      </c>
      <c r="BV17" s="415" t="s">
        <v>5</v>
      </c>
      <c r="BW17" s="449">
        <v>97.170011263636766</v>
      </c>
      <c r="BX17" s="449">
        <v>106.39859999999999</v>
      </c>
      <c r="BZ17" s="438" t="s">
        <v>0</v>
      </c>
      <c r="CA17" s="439">
        <v>-8.3000000000000001E-3</v>
      </c>
      <c r="CC17" t="s">
        <v>47</v>
      </c>
      <c r="CD17" t="s">
        <v>1716</v>
      </c>
      <c r="CE17" t="s">
        <v>896</v>
      </c>
      <c r="CF17" t="s">
        <v>1715</v>
      </c>
      <c r="CG17" t="str">
        <f>Table_Safety_Targets[[#This Row],[ANSP]]&amp;Table_Safety_Targets[[#This Row],[Safety Area]]</f>
        <v>FERRONATSSafety assurance</v>
      </c>
    </row>
    <row r="18" spans="2:85">
      <c r="B18" t="s">
        <v>464</v>
      </c>
      <c r="C18" t="s">
        <v>522</v>
      </c>
      <c r="E18" t="s">
        <v>50</v>
      </c>
      <c r="F18" t="s">
        <v>49</v>
      </c>
      <c r="G18" t="s">
        <v>52</v>
      </c>
      <c r="H18" t="s">
        <v>494</v>
      </c>
      <c r="I18" t="s">
        <v>52</v>
      </c>
      <c r="J18" t="s">
        <v>50</v>
      </c>
      <c r="R18">
        <v>14</v>
      </c>
      <c r="S18" t="s">
        <v>10</v>
      </c>
      <c r="T18" t="s">
        <v>1273</v>
      </c>
      <c r="U18" t="s">
        <v>1274</v>
      </c>
      <c r="V18" t="s">
        <v>1275</v>
      </c>
      <c r="Y18" t="s">
        <v>190</v>
      </c>
      <c r="Z18" t="s">
        <v>584</v>
      </c>
      <c r="AA18" t="s">
        <v>0</v>
      </c>
      <c r="AB18">
        <v>234537</v>
      </c>
      <c r="AC18">
        <v>248865</v>
      </c>
      <c r="AD18">
        <v>243779</v>
      </c>
      <c r="AE18" s="72">
        <v>242393.66666666666</v>
      </c>
      <c r="AI18" t="s">
        <v>50</v>
      </c>
      <c r="AJ18" s="405">
        <v>1.11E-2</v>
      </c>
      <c r="AK18" s="405">
        <v>1.5599999999999999E-2</v>
      </c>
      <c r="AL18" s="405">
        <v>1.5599999999999999E-2</v>
      </c>
      <c r="AM18" s="405">
        <v>1.127461416261677E-2</v>
      </c>
      <c r="AN18" s="405">
        <v>1.127461416261677E-2</v>
      </c>
      <c r="AO18" s="405">
        <v>1.127461416261677E-2</v>
      </c>
      <c r="AP18" s="405">
        <v>1.127461416261677E-2</v>
      </c>
      <c r="AS18" t="s">
        <v>50</v>
      </c>
      <c r="AT18">
        <v>0</v>
      </c>
      <c r="AU18">
        <v>7.0000000000000007E-2</v>
      </c>
      <c r="AV18">
        <v>7.0000000000000007E-2</v>
      </c>
      <c r="AW18">
        <v>0.01</v>
      </c>
      <c r="AX18">
        <v>0.03</v>
      </c>
      <c r="AY18">
        <v>0.03</v>
      </c>
      <c r="AZ18">
        <v>0.03</v>
      </c>
      <c r="BC18" t="s">
        <v>16</v>
      </c>
      <c r="BD18" t="s">
        <v>1503</v>
      </c>
      <c r="BE18" t="s">
        <v>943</v>
      </c>
      <c r="BF18" t="s">
        <v>205</v>
      </c>
      <c r="BG18" t="s">
        <v>764</v>
      </c>
      <c r="BH18">
        <v>0</v>
      </c>
      <c r="BI18">
        <v>0</v>
      </c>
      <c r="BL18" s="90" t="str">
        <f>IFERROR(INDEX(Table_TCZs_RP2[TCZ_Name], MATCH(0, INDEX(COUNTIF($BL$5:BL17, Table_TCZs_RP2[TCZ_Name]), 0, 0), 0)), "")</f>
        <v>Italy - Zone 2</v>
      </c>
      <c r="BM18" s="90" t="str">
        <f>INDEX(Table_TCZs_RP2[TCZ_Code],MATCH(BL18,Table_TCZs_RP2[TCZ_Name],0))</f>
        <v>LI_TCZ_2</v>
      </c>
      <c r="BN18" t="str">
        <f>INDEX(Table_TCZs_RP2[Country_Name],MATCH(BL18,Table_TCZs_RP2[TCZ_Name],0))</f>
        <v>Italy</v>
      </c>
      <c r="BO18">
        <v>101.80720000000001</v>
      </c>
      <c r="BR18" t="s">
        <v>50</v>
      </c>
      <c r="BS18">
        <v>0.11353849580518227</v>
      </c>
      <c r="BT18">
        <v>0.25</v>
      </c>
      <c r="BV18" s="416" t="s">
        <v>50</v>
      </c>
      <c r="BW18" s="449">
        <v>99.900698705486761</v>
      </c>
      <c r="BX18" s="449">
        <v>101.60629999999998</v>
      </c>
      <c r="BZ18" s="438" t="s">
        <v>50</v>
      </c>
      <c r="CA18" s="439">
        <v>-7.4000000000000003E-3</v>
      </c>
      <c r="CC18" t="s">
        <v>47</v>
      </c>
      <c r="CD18" t="s">
        <v>1716</v>
      </c>
      <c r="CE18" t="s">
        <v>897</v>
      </c>
      <c r="CF18" t="s">
        <v>1715</v>
      </c>
      <c r="CG18" t="str">
        <f>Table_Safety_Targets[[#This Row],[ANSP]]&amp;Table_Safety_Targets[[#This Row],[Safety Area]]</f>
        <v>FERRONATSSafety promotion</v>
      </c>
    </row>
    <row r="19" spans="2:85">
      <c r="B19" t="s">
        <v>463</v>
      </c>
      <c r="C19" t="s">
        <v>523</v>
      </c>
      <c r="E19" t="s">
        <v>215</v>
      </c>
      <c r="F19" t="s">
        <v>212</v>
      </c>
      <c r="G19" t="s">
        <v>434</v>
      </c>
      <c r="H19" t="s">
        <v>495</v>
      </c>
      <c r="I19" t="s">
        <v>434</v>
      </c>
      <c r="J19" t="s">
        <v>215</v>
      </c>
      <c r="R19">
        <v>15</v>
      </c>
      <c r="S19" t="s">
        <v>11</v>
      </c>
      <c r="T19" t="s">
        <v>1276</v>
      </c>
      <c r="U19" t="s">
        <v>826</v>
      </c>
      <c r="V19" t="s">
        <v>1277</v>
      </c>
      <c r="Y19" t="s">
        <v>70</v>
      </c>
      <c r="Z19" t="s">
        <v>586</v>
      </c>
      <c r="AA19" t="s">
        <v>10</v>
      </c>
      <c r="AB19">
        <v>237708</v>
      </c>
      <c r="AC19">
        <v>232139</v>
      </c>
      <c r="AD19">
        <v>232374</v>
      </c>
      <c r="AE19" s="72">
        <v>234073.66666666666</v>
      </c>
      <c r="AI19" t="s">
        <v>215</v>
      </c>
      <c r="AJ19" s="405">
        <v>2.8500000000000001E-2</v>
      </c>
      <c r="AK19" s="405">
        <v>2.8299999999999999E-2</v>
      </c>
      <c r="AL19" s="405">
        <v>2.8299999999999999E-2</v>
      </c>
      <c r="AM19" s="405">
        <v>2.6700000000000002E-2</v>
      </c>
      <c r="AN19" s="405">
        <v>2.6700000000000002E-2</v>
      </c>
      <c r="AO19" s="405">
        <v>2.6700000000000002E-2</v>
      </c>
      <c r="AP19" s="405">
        <v>2.6700000000000002E-2</v>
      </c>
      <c r="AS19" t="s">
        <v>215</v>
      </c>
      <c r="AT19">
        <v>7.115376373964386E-3</v>
      </c>
      <c r="AU19">
        <v>0.25</v>
      </c>
      <c r="AV19">
        <v>0.25</v>
      </c>
      <c r="AW19">
        <v>7.0000000000000007E-2</v>
      </c>
      <c r="AX19">
        <v>0.11</v>
      </c>
      <c r="AY19">
        <v>0.11</v>
      </c>
      <c r="AZ19">
        <v>0.11</v>
      </c>
      <c r="BC19" t="s">
        <v>17</v>
      </c>
      <c r="BD19" t="s">
        <v>1504</v>
      </c>
      <c r="BE19" t="s">
        <v>944</v>
      </c>
      <c r="BF19" t="s">
        <v>68</v>
      </c>
      <c r="BG19" t="s">
        <v>594</v>
      </c>
      <c r="BH19">
        <v>0.19784083729362964</v>
      </c>
      <c r="BI19">
        <v>0.39</v>
      </c>
      <c r="BL19" s="90" t="str">
        <f>IFERROR(INDEX(Table_TCZs_RP2[TCZ_Name], MATCH(0, INDEX(COUNTIF($BL$5:BL18, Table_TCZs_RP2[TCZ_Name]), 0, 0), 0)), "")</f>
        <v>Latvia - TCZ</v>
      </c>
      <c r="BM19" s="90" t="str">
        <f>INDEX(Table_TCZs_RP2[TCZ_Code],MATCH(BL19,Table_TCZs_RP2[TCZ_Name],0))</f>
        <v>EV_TCZ</v>
      </c>
      <c r="BN19" t="str">
        <f>INDEX(Table_TCZs_RP2[Country_Name],MATCH(BL19,Table_TCZs_RP2[TCZ_Name],0))</f>
        <v>Latvia</v>
      </c>
      <c r="BO19">
        <v>105.3702</v>
      </c>
      <c r="BR19" t="s">
        <v>215</v>
      </c>
      <c r="BS19">
        <v>4.3106615869577827E-2</v>
      </c>
      <c r="BT19">
        <v>0.41</v>
      </c>
      <c r="BV19" s="415" t="s">
        <v>215</v>
      </c>
      <c r="BW19" s="449">
        <v>98.716781836229046</v>
      </c>
      <c r="BX19" s="449">
        <v>101.80720000000001</v>
      </c>
      <c r="BZ19" s="438" t="s">
        <v>41</v>
      </c>
      <c r="CA19" s="439">
        <v>-6.4000000000000003E-3</v>
      </c>
      <c r="CC19" t="s">
        <v>47</v>
      </c>
      <c r="CD19" t="s">
        <v>1716</v>
      </c>
      <c r="CE19" t="s">
        <v>898</v>
      </c>
      <c r="CF19" t="s">
        <v>1715</v>
      </c>
      <c r="CG19" t="str">
        <f>Table_Safety_Targets[[#This Row],[ANSP]]&amp;Table_Safety_Targets[[#This Row],[Safety Area]]</f>
        <v>FERRONATSSafety culture</v>
      </c>
    </row>
    <row r="20" spans="2:85">
      <c r="B20" t="s">
        <v>466</v>
      </c>
      <c r="C20" t="s">
        <v>524</v>
      </c>
      <c r="E20" t="s">
        <v>41</v>
      </c>
      <c r="F20" t="s">
        <v>15</v>
      </c>
      <c r="G20" t="s">
        <v>437</v>
      </c>
      <c r="H20" t="s">
        <v>496</v>
      </c>
      <c r="I20" t="s">
        <v>437</v>
      </c>
      <c r="J20" t="s">
        <v>41</v>
      </c>
      <c r="R20">
        <v>16</v>
      </c>
      <c r="S20" t="s">
        <v>11</v>
      </c>
      <c r="T20" t="s">
        <v>1278</v>
      </c>
      <c r="U20" t="s">
        <v>1279</v>
      </c>
      <c r="V20" t="s">
        <v>1280</v>
      </c>
      <c r="Y20" t="s">
        <v>61</v>
      </c>
      <c r="Z20" t="s">
        <v>587</v>
      </c>
      <c r="AA20" t="s">
        <v>9</v>
      </c>
      <c r="AB20">
        <v>218120</v>
      </c>
      <c r="AC20">
        <v>232719</v>
      </c>
      <c r="AD20">
        <v>229957</v>
      </c>
      <c r="AE20" s="72">
        <v>226932</v>
      </c>
      <c r="AI20" t="s">
        <v>41</v>
      </c>
      <c r="AJ20" s="405">
        <v>1.24E-2</v>
      </c>
      <c r="AK20" s="405">
        <v>1.2999999999999999E-2</v>
      </c>
      <c r="AL20" s="405">
        <v>1.2999999999999999E-2</v>
      </c>
      <c r="AM20" s="405">
        <v>1.2500000000000001E-2</v>
      </c>
      <c r="AN20" s="405">
        <v>1.2500000000000001E-2</v>
      </c>
      <c r="AO20" s="405">
        <v>1.2500000000000001E-2</v>
      </c>
      <c r="AP20" s="405">
        <v>1.2500000000000001E-2</v>
      </c>
      <c r="AS20" t="s">
        <v>41</v>
      </c>
      <c r="AT20">
        <v>0</v>
      </c>
      <c r="AU20">
        <v>0.06</v>
      </c>
      <c r="AV20">
        <v>0.06</v>
      </c>
      <c r="AW20">
        <v>0.01</v>
      </c>
      <c r="AX20">
        <v>0.03</v>
      </c>
      <c r="AY20">
        <v>0.03</v>
      </c>
      <c r="AZ20">
        <v>0.03</v>
      </c>
      <c r="BC20" t="s">
        <v>10</v>
      </c>
      <c r="BD20" t="s">
        <v>765</v>
      </c>
      <c r="BE20" t="s">
        <v>945</v>
      </c>
      <c r="BF20" t="s">
        <v>69</v>
      </c>
      <c r="BG20" t="s">
        <v>573</v>
      </c>
      <c r="BH20">
        <v>0.10856070972243619</v>
      </c>
      <c r="BI20">
        <v>0.8</v>
      </c>
      <c r="BL20" s="90" t="str">
        <f>IFERROR(INDEX(Table_TCZs_RP2[TCZ_Name], MATCH(0, INDEX(COUNTIF($BL$5:BL19, Table_TCZs_RP2[TCZ_Name]), 0, 0), 0)), "")</f>
        <v>Luxembourg - TCZ</v>
      </c>
      <c r="BM20" s="90" t="str">
        <f>INDEX(Table_TCZs_RP2[TCZ_Code],MATCH(BL20,Table_TCZs_RP2[TCZ_Name],0))</f>
        <v>EL_TCZ</v>
      </c>
      <c r="BN20" t="str">
        <f>INDEX(Table_TCZs_RP2[Country_Name],MATCH(BL20,Table_TCZs_RP2[TCZ_Name],0))</f>
        <v>Luxembourg</v>
      </c>
      <c r="BO20">
        <v>103.52759999999999</v>
      </c>
      <c r="BR20" t="s">
        <v>41</v>
      </c>
      <c r="BS20">
        <v>0</v>
      </c>
      <c r="BT20">
        <v>0.02</v>
      </c>
      <c r="BV20" s="416" t="s">
        <v>41</v>
      </c>
      <c r="BW20" s="449">
        <v>96.890863462676123</v>
      </c>
      <c r="BX20" s="449">
        <v>105.3702</v>
      </c>
      <c r="BZ20" s="438" t="s">
        <v>44</v>
      </c>
      <c r="CA20" s="439">
        <v>-6.4000000000000003E-3</v>
      </c>
      <c r="CC20" t="s">
        <v>221</v>
      </c>
      <c r="CD20" t="s">
        <v>442</v>
      </c>
      <c r="CE20" t="s">
        <v>894</v>
      </c>
      <c r="CF20" t="s">
        <v>1717</v>
      </c>
      <c r="CG20" t="str">
        <f>Table_Safety_Targets[[#This Row],[ANSP]]&amp;Table_Safety_Targets[[#This Row],[Safety Area]]</f>
        <v>NAVIAIRSafety policy and objectives</v>
      </c>
    </row>
    <row r="21" spans="2:85">
      <c r="B21" t="s">
        <v>473</v>
      </c>
      <c r="C21" t="s">
        <v>525</v>
      </c>
      <c r="E21" t="s">
        <v>210</v>
      </c>
      <c r="F21" t="s">
        <v>209</v>
      </c>
      <c r="G21" t="s">
        <v>443</v>
      </c>
      <c r="H21" t="s">
        <v>497</v>
      </c>
      <c r="I21" t="s">
        <v>443</v>
      </c>
      <c r="J21" t="s">
        <v>210</v>
      </c>
      <c r="R21">
        <v>17</v>
      </c>
      <c r="S21" t="s">
        <v>11</v>
      </c>
      <c r="T21" t="s">
        <v>1281</v>
      </c>
      <c r="U21" t="s">
        <v>1282</v>
      </c>
      <c r="V21" t="s">
        <v>1283</v>
      </c>
      <c r="Y21" t="s">
        <v>143</v>
      </c>
      <c r="Z21" t="s">
        <v>585</v>
      </c>
      <c r="AA21" t="s">
        <v>50</v>
      </c>
      <c r="AB21">
        <v>214048</v>
      </c>
      <c r="AC21">
        <v>222326</v>
      </c>
      <c r="AD21">
        <v>232414</v>
      </c>
      <c r="AE21" s="72">
        <v>222929.33333333334</v>
      </c>
      <c r="AI21" t="s">
        <v>210</v>
      </c>
      <c r="AJ21" s="405">
        <v>1.9E-2</v>
      </c>
      <c r="AK21" s="405">
        <v>1.9E-2</v>
      </c>
      <c r="AL21" s="405">
        <v>1.9E-2</v>
      </c>
      <c r="AM21" s="405">
        <v>1.9300000000000001E-2</v>
      </c>
      <c r="AN21" s="405">
        <v>1.9199999999999998E-2</v>
      </c>
      <c r="AO21" s="405">
        <v>1.9199999999999998E-2</v>
      </c>
      <c r="AP21" s="405">
        <v>1.9199999999999998E-2</v>
      </c>
      <c r="AS21" t="s">
        <v>210</v>
      </c>
      <c r="AT21">
        <v>0</v>
      </c>
      <c r="AU21">
        <v>0.05</v>
      </c>
      <c r="AV21">
        <v>0.05</v>
      </c>
      <c r="AW21">
        <v>0.01</v>
      </c>
      <c r="AX21">
        <v>0.03</v>
      </c>
      <c r="AY21">
        <v>0.03</v>
      </c>
      <c r="AZ21">
        <v>0.03</v>
      </c>
      <c r="BC21" t="s">
        <v>10</v>
      </c>
      <c r="BD21" t="s">
        <v>765</v>
      </c>
      <c r="BE21" t="s">
        <v>945</v>
      </c>
      <c r="BF21" t="s">
        <v>70</v>
      </c>
      <c r="BG21" t="s">
        <v>586</v>
      </c>
      <c r="BH21">
        <v>0.96080793763288452</v>
      </c>
      <c r="BI21">
        <v>1.2</v>
      </c>
      <c r="BL21" s="90" t="str">
        <f>IFERROR(INDEX(Table_TCZs_RP2[TCZ_Name], MATCH(0, INDEX(COUNTIF($BL$5:BL20, Table_TCZs_RP2[TCZ_Name]), 0, 0), 0)), "")</f>
        <v>Malta - TCZ</v>
      </c>
      <c r="BM21" s="90" t="str">
        <f>INDEX(Table_TCZs_RP2[TCZ_Code],MATCH(BL21,Table_TCZs_RP2[TCZ_Name],0))</f>
        <v>LM_TCZ</v>
      </c>
      <c r="BN21" t="str">
        <f>INDEX(Table_TCZs_RP2[Country_Name],MATCH(BL21,Table_TCZs_RP2[TCZ_Name],0))</f>
        <v>Malta</v>
      </c>
      <c r="BO21">
        <v>103.22549999999998</v>
      </c>
      <c r="BR21" t="s">
        <v>210</v>
      </c>
      <c r="BS21" t="s">
        <v>892</v>
      </c>
      <c r="BT21" t="s">
        <v>892</v>
      </c>
      <c r="BV21" s="415" t="s">
        <v>210</v>
      </c>
      <c r="BW21" s="449">
        <v>96.43674082942313</v>
      </c>
      <c r="BX21" s="449">
        <v>104.75499999999998</v>
      </c>
      <c r="BZ21" s="438" t="s">
        <v>16</v>
      </c>
      <c r="CA21" s="439">
        <v>-4.7000000000000002E-3</v>
      </c>
      <c r="CC21" t="s">
        <v>221</v>
      </c>
      <c r="CD21" t="s">
        <v>442</v>
      </c>
      <c r="CE21" t="s">
        <v>895</v>
      </c>
      <c r="CF21" t="s">
        <v>1717</v>
      </c>
      <c r="CG21" t="str">
        <f>Table_Safety_Targets[[#This Row],[ANSP]]&amp;Table_Safety_Targets[[#This Row],[Safety Area]]</f>
        <v>NAVIAIRSafety risk management</v>
      </c>
    </row>
    <row r="22" spans="2:85">
      <c r="B22" t="s">
        <v>534</v>
      </c>
      <c r="C22" t="s">
        <v>719</v>
      </c>
      <c r="E22" t="s">
        <v>12</v>
      </c>
      <c r="F22" t="s">
        <v>8</v>
      </c>
      <c r="G22" t="s">
        <v>424</v>
      </c>
      <c r="I22" t="s">
        <v>424</v>
      </c>
      <c r="J22" t="s">
        <v>208</v>
      </c>
      <c r="R22">
        <v>18</v>
      </c>
      <c r="S22" t="s">
        <v>11</v>
      </c>
      <c r="T22" t="s">
        <v>1284</v>
      </c>
      <c r="U22" t="s">
        <v>575</v>
      </c>
      <c r="V22" t="s">
        <v>1285</v>
      </c>
      <c r="Y22" t="s">
        <v>128</v>
      </c>
      <c r="Z22" t="s">
        <v>588</v>
      </c>
      <c r="AA22" t="s">
        <v>11</v>
      </c>
      <c r="AB22">
        <v>217041</v>
      </c>
      <c r="AC22">
        <v>221067</v>
      </c>
      <c r="AD22">
        <v>218391</v>
      </c>
      <c r="AE22" s="72">
        <v>218833</v>
      </c>
      <c r="AI22" t="s">
        <v>216</v>
      </c>
      <c r="AJ22" s="405">
        <v>2.53E-2</v>
      </c>
      <c r="AK22" s="405">
        <v>1.46E-2</v>
      </c>
      <c r="AL22" s="405">
        <v>1.46E-2</v>
      </c>
      <c r="AM22" s="405">
        <v>1.8200000000000001E-2</v>
      </c>
      <c r="AN22" s="405">
        <v>1.7999999999999999E-2</v>
      </c>
      <c r="AO22" s="405">
        <v>1.7999999999999999E-2</v>
      </c>
      <c r="AP22" s="405">
        <v>1.7999999999999999E-2</v>
      </c>
      <c r="AS22" t="s">
        <v>216</v>
      </c>
      <c r="AT22">
        <v>0</v>
      </c>
      <c r="AU22">
        <v>0.02</v>
      </c>
      <c r="AV22">
        <v>0.02</v>
      </c>
      <c r="AW22">
        <v>0.01</v>
      </c>
      <c r="AX22">
        <v>0.01</v>
      </c>
      <c r="AY22">
        <v>0.01</v>
      </c>
      <c r="AZ22">
        <v>0.01</v>
      </c>
      <c r="BC22" t="s">
        <v>10</v>
      </c>
      <c r="BD22" t="s">
        <v>766</v>
      </c>
      <c r="BE22" t="s">
        <v>946</v>
      </c>
      <c r="BF22" t="s">
        <v>71</v>
      </c>
      <c r="BG22" t="s">
        <v>600</v>
      </c>
      <c r="BH22">
        <v>0.13393234034854973</v>
      </c>
      <c r="BI22">
        <v>0.4</v>
      </c>
      <c r="BL22" s="90" t="str">
        <f>IFERROR(INDEX(Table_TCZs_RP2[TCZ_Name], MATCH(0, INDEX(COUNTIF($BL$5:BL21, Table_TCZs_RP2[TCZ_Name]), 0, 0), 0)), "")</f>
        <v>Netherlands - TCZ</v>
      </c>
      <c r="BM22" s="90" t="str">
        <f>INDEX(Table_TCZs_RP2[TCZ_Code],MATCH(BL22,Table_TCZs_RP2[TCZ_Name],0))</f>
        <v>EH_TCZ</v>
      </c>
      <c r="BN22" t="str">
        <f>INDEX(Table_TCZs_RP2[Country_Name],MATCH(BL22,Table_TCZs_RP2[TCZ_Name],0))</f>
        <v>Netherlands</v>
      </c>
      <c r="BO22">
        <v>104.34319999999998</v>
      </c>
      <c r="BR22" t="s">
        <v>216</v>
      </c>
      <c r="BS22">
        <v>0</v>
      </c>
      <c r="BT22">
        <v>0</v>
      </c>
      <c r="BV22" s="415" t="s">
        <v>216</v>
      </c>
      <c r="BW22" s="449">
        <v>96.676045158246922</v>
      </c>
      <c r="BX22" s="449">
        <v>103.22549999999998</v>
      </c>
      <c r="BZ22" s="438" t="s">
        <v>2</v>
      </c>
      <c r="CA22" s="439">
        <v>-4.1000000000000003E-3</v>
      </c>
      <c r="CC22" t="s">
        <v>221</v>
      </c>
      <c r="CD22" t="s">
        <v>442</v>
      </c>
      <c r="CE22" t="s">
        <v>896</v>
      </c>
      <c r="CF22" t="s">
        <v>1717</v>
      </c>
      <c r="CG22" t="str">
        <f>Table_Safety_Targets[[#This Row],[ANSP]]&amp;Table_Safety_Targets[[#This Row],[Safety Area]]</f>
        <v>NAVIAIRSafety assurance</v>
      </c>
    </row>
    <row r="23" spans="2:85">
      <c r="B23" t="s">
        <v>469</v>
      </c>
      <c r="C23" t="s">
        <v>526</v>
      </c>
      <c r="E23" t="s">
        <v>216</v>
      </c>
      <c r="F23" t="s">
        <v>212</v>
      </c>
      <c r="G23" t="s">
        <v>440</v>
      </c>
      <c r="H23" t="s">
        <v>498</v>
      </c>
      <c r="I23" t="s">
        <v>440</v>
      </c>
      <c r="J23" t="s">
        <v>216</v>
      </c>
      <c r="R23">
        <v>19</v>
      </c>
      <c r="S23" t="s">
        <v>214</v>
      </c>
      <c r="T23" t="s">
        <v>1286</v>
      </c>
      <c r="U23" t="s">
        <v>590</v>
      </c>
      <c r="V23" t="s">
        <v>1287</v>
      </c>
      <c r="Y23" t="s">
        <v>187</v>
      </c>
      <c r="Z23" t="s">
        <v>635</v>
      </c>
      <c r="AA23" t="s">
        <v>47</v>
      </c>
      <c r="AB23">
        <v>197430</v>
      </c>
      <c r="AC23">
        <v>208694</v>
      </c>
      <c r="AD23">
        <v>220206</v>
      </c>
      <c r="AE23" s="72">
        <v>208776.66666666666</v>
      </c>
      <c r="AI23" t="s">
        <v>13</v>
      </c>
      <c r="AJ23" s="405"/>
      <c r="AK23" s="405">
        <v>7.22E-2</v>
      </c>
      <c r="AL23" s="405">
        <v>0</v>
      </c>
      <c r="AM23" s="405">
        <v>2.63E-2</v>
      </c>
      <c r="AN23" s="405">
        <v>2.6200000000000001E-2</v>
      </c>
      <c r="AO23" s="405">
        <v>2.6200000000000001E-2</v>
      </c>
      <c r="AP23" s="405">
        <v>2.6200000000000001E-2</v>
      </c>
      <c r="AS23" t="s">
        <v>13</v>
      </c>
      <c r="AT23">
        <v>8.4174403160669625E-3</v>
      </c>
      <c r="AU23">
        <v>0.13</v>
      </c>
      <c r="AV23" t="s">
        <v>227</v>
      </c>
      <c r="AW23">
        <v>0.06</v>
      </c>
      <c r="AX23">
        <v>0.09</v>
      </c>
      <c r="AY23">
        <v>0.09</v>
      </c>
      <c r="AZ23">
        <v>0.1</v>
      </c>
      <c r="BC23" t="s">
        <v>10</v>
      </c>
      <c r="BD23" t="s">
        <v>766</v>
      </c>
      <c r="BE23" t="s">
        <v>946</v>
      </c>
      <c r="BF23" t="s">
        <v>72</v>
      </c>
      <c r="BG23" t="s">
        <v>767</v>
      </c>
      <c r="BH23">
        <v>2.7733475101896155E-2</v>
      </c>
      <c r="BI23">
        <v>0.44</v>
      </c>
      <c r="BL23" s="90" t="str">
        <f>IFERROR(INDEX(Table_TCZs_RP2[TCZ_Name], MATCH(0, INDEX(COUNTIF($BL$5:BL22, Table_TCZs_RP2[TCZ_Name]), 0, 0), 0)), "")</f>
        <v>Norway - TCZ</v>
      </c>
      <c r="BM23" s="90" t="str">
        <f>INDEX(Table_TCZs_RP2[TCZ_Code],MATCH(BL23,Table_TCZs_RP2[TCZ_Name],0))</f>
        <v>EN_TCZ</v>
      </c>
      <c r="BN23" t="str">
        <f>INDEX(Table_TCZs_RP2[Country_Name],MATCH(BL23,Table_TCZs_RP2[TCZ_Name],0))</f>
        <v>Norway</v>
      </c>
      <c r="BO23">
        <v>105.36899999999999</v>
      </c>
      <c r="BR23" t="s">
        <v>13</v>
      </c>
      <c r="BS23">
        <v>1.2582875336390857</v>
      </c>
      <c r="BT23">
        <v>2</v>
      </c>
      <c r="BV23" s="416" t="s">
        <v>13</v>
      </c>
      <c r="BW23" s="449">
        <v>98.421222609174464</v>
      </c>
      <c r="BX23" s="449">
        <v>104.34319999999998</v>
      </c>
      <c r="BZ23" s="440" t="s">
        <v>1606</v>
      </c>
      <c r="CA23" s="441">
        <v>-3.0999999999999999E-3</v>
      </c>
      <c r="CC23" t="s">
        <v>221</v>
      </c>
      <c r="CD23" t="s">
        <v>442</v>
      </c>
      <c r="CE23" t="s">
        <v>897</v>
      </c>
      <c r="CF23" t="s">
        <v>1717</v>
      </c>
      <c r="CG23" t="str">
        <f>Table_Safety_Targets[[#This Row],[ANSP]]&amp;Table_Safety_Targets[[#This Row],[Safety Area]]</f>
        <v>NAVIAIRSafety promotion</v>
      </c>
    </row>
    <row r="24" spans="2:85">
      <c r="B24" t="s">
        <v>468</v>
      </c>
      <c r="C24" t="s">
        <v>527</v>
      </c>
      <c r="E24" t="s">
        <v>13</v>
      </c>
      <c r="F24" t="s">
        <v>8</v>
      </c>
      <c r="G24" t="s">
        <v>439</v>
      </c>
      <c r="H24" t="s">
        <v>499</v>
      </c>
      <c r="I24" t="s">
        <v>439</v>
      </c>
      <c r="J24" t="s">
        <v>13</v>
      </c>
      <c r="R24">
        <v>20</v>
      </c>
      <c r="S24" t="s">
        <v>214</v>
      </c>
      <c r="T24" t="s">
        <v>1288</v>
      </c>
      <c r="U24" t="s">
        <v>1289</v>
      </c>
      <c r="V24" t="s">
        <v>1290</v>
      </c>
      <c r="Y24" t="s">
        <v>175</v>
      </c>
      <c r="Z24" t="s">
        <v>589</v>
      </c>
      <c r="AA24" t="s">
        <v>45</v>
      </c>
      <c r="AB24">
        <v>182549</v>
      </c>
      <c r="AC24">
        <v>203427</v>
      </c>
      <c r="AD24">
        <v>217555</v>
      </c>
      <c r="AE24" s="72">
        <v>201177</v>
      </c>
      <c r="AI24" t="s">
        <v>42</v>
      </c>
      <c r="AJ24" s="405">
        <v>1.52E-2</v>
      </c>
      <c r="AK24" s="405">
        <v>1.43E-2</v>
      </c>
      <c r="AL24" s="405">
        <v>1.43E-2</v>
      </c>
      <c r="AM24" s="405">
        <v>1.55E-2</v>
      </c>
      <c r="AN24" s="405">
        <v>1.55E-2</v>
      </c>
      <c r="AO24" s="405">
        <v>1.55E-2</v>
      </c>
      <c r="AP24" s="405">
        <v>1.55E-2</v>
      </c>
      <c r="AS24" t="s">
        <v>42</v>
      </c>
      <c r="AT24">
        <v>9.8433695408154456E-3</v>
      </c>
      <c r="AU24">
        <v>0.08</v>
      </c>
      <c r="AV24">
        <v>0.18</v>
      </c>
      <c r="AW24">
        <v>0.06</v>
      </c>
      <c r="AX24">
        <v>0.11</v>
      </c>
      <c r="AY24">
        <v>0.11</v>
      </c>
      <c r="AZ24">
        <v>0.11</v>
      </c>
      <c r="BC24" t="s">
        <v>10</v>
      </c>
      <c r="BD24" t="s">
        <v>766</v>
      </c>
      <c r="BE24" t="s">
        <v>946</v>
      </c>
      <c r="BF24" t="s">
        <v>73</v>
      </c>
      <c r="BG24" t="s">
        <v>613</v>
      </c>
      <c r="BH24">
        <v>9.8058211532791373E-2</v>
      </c>
      <c r="BI24">
        <v>0.16</v>
      </c>
      <c r="BL24" s="90" t="str">
        <f>IFERROR(INDEX(Table_TCZs_RP2[TCZ_Name], MATCH(0, INDEX(COUNTIF($BL$5:BL23, Table_TCZs_RP2[TCZ_Name]), 0, 0), 0)), "")</f>
        <v>Poland - EPWA</v>
      </c>
      <c r="BM24" s="90" t="str">
        <f>INDEX(Table_TCZs_RP2[TCZ_Code],MATCH(BL24,Table_TCZs_RP2[TCZ_Name],0))</f>
        <v>EP_TCZ_EPWA</v>
      </c>
      <c r="BN24" t="str">
        <f>INDEX(Table_TCZs_RP2[Country_Name],MATCH(BL24,Table_TCZs_RP2[TCZ_Name],0))</f>
        <v>Poland</v>
      </c>
      <c r="BO24">
        <v>103.3252</v>
      </c>
      <c r="BR24" t="s">
        <v>42</v>
      </c>
      <c r="BS24">
        <v>3.4836457719364049E-2</v>
      </c>
      <c r="BT24">
        <v>0.5</v>
      </c>
      <c r="BV24" s="415" t="s">
        <v>42</v>
      </c>
      <c r="BW24" s="449">
        <v>92.599810233356905</v>
      </c>
      <c r="BX24" s="449">
        <v>105.36899999999999</v>
      </c>
      <c r="BZ24" s="438" t="s">
        <v>1607</v>
      </c>
      <c r="CA24" s="439">
        <v>-2.8999999999999998E-3</v>
      </c>
      <c r="CC24" t="s">
        <v>221</v>
      </c>
      <c r="CD24" t="s">
        <v>442</v>
      </c>
      <c r="CE24" t="s">
        <v>898</v>
      </c>
      <c r="CF24" t="s">
        <v>1717</v>
      </c>
      <c r="CG24" t="str">
        <f>Table_Safety_Targets[[#This Row],[ANSP]]&amp;Table_Safety_Targets[[#This Row],[Safety Area]]</f>
        <v>NAVIAIRSafety culture</v>
      </c>
    </row>
    <row r="25" spans="2:85">
      <c r="B25" t="s">
        <v>456</v>
      </c>
      <c r="C25" t="s">
        <v>528</v>
      </c>
      <c r="E25" t="s">
        <v>42</v>
      </c>
      <c r="F25" t="s">
        <v>15</v>
      </c>
      <c r="G25" t="s">
        <v>720</v>
      </c>
      <c r="H25" t="s">
        <v>500</v>
      </c>
      <c r="I25" t="s">
        <v>720</v>
      </c>
      <c r="J25" t="s">
        <v>42</v>
      </c>
      <c r="R25">
        <v>21</v>
      </c>
      <c r="S25" t="s">
        <v>5</v>
      </c>
      <c r="T25" t="s">
        <v>1291</v>
      </c>
      <c r="U25" t="s">
        <v>831</v>
      </c>
      <c r="V25" t="s">
        <v>1292</v>
      </c>
      <c r="Y25" t="s">
        <v>200</v>
      </c>
      <c r="Z25" t="s">
        <v>591</v>
      </c>
      <c r="AA25" t="s">
        <v>51</v>
      </c>
      <c r="AB25">
        <v>192154</v>
      </c>
      <c r="AC25">
        <v>203621</v>
      </c>
      <c r="AD25">
        <v>201256</v>
      </c>
      <c r="AE25" s="72">
        <v>199010.33333333334</v>
      </c>
      <c r="AI25" t="s">
        <v>211</v>
      </c>
      <c r="AJ25" s="405">
        <v>1.67E-2</v>
      </c>
      <c r="AK25" s="405">
        <v>1.8499999999999999E-2</v>
      </c>
      <c r="AL25" s="405">
        <v>1.67E-2</v>
      </c>
      <c r="AM25" s="405">
        <v>1.6500000000000001E-2</v>
      </c>
      <c r="AN25" s="405">
        <v>1.6500000000000001E-2</v>
      </c>
      <c r="AO25" s="405">
        <v>1.6500000000000001E-2</v>
      </c>
      <c r="AP25" s="405">
        <v>1.6500000000000001E-2</v>
      </c>
      <c r="AS25" t="s">
        <v>211</v>
      </c>
      <c r="AT25">
        <v>3.8459852734922862E-3</v>
      </c>
      <c r="AU25">
        <v>0.3</v>
      </c>
      <c r="AV25">
        <v>0.3</v>
      </c>
      <c r="AW25">
        <v>7.0000000000000007E-2</v>
      </c>
      <c r="AX25">
        <v>0.12</v>
      </c>
      <c r="AY25">
        <v>0.12</v>
      </c>
      <c r="AZ25">
        <v>0.12</v>
      </c>
      <c r="BC25" t="s">
        <v>10</v>
      </c>
      <c r="BD25" t="s">
        <v>766</v>
      </c>
      <c r="BE25" t="s">
        <v>946</v>
      </c>
      <c r="BF25" t="s">
        <v>74</v>
      </c>
      <c r="BG25" t="s">
        <v>614</v>
      </c>
      <c r="BH25">
        <v>0.16048658947676975</v>
      </c>
      <c r="BI25">
        <v>0.3</v>
      </c>
      <c r="BL25" s="90" t="str">
        <f>IFERROR(INDEX(Table_TCZs_RP2[TCZ_Name], MATCH(0, INDEX(COUNTIF($BL$5:BL24, Table_TCZs_RP2[TCZ_Name]), 0, 0), 0)), "")</f>
        <v>Poland - Others</v>
      </c>
      <c r="BM25" s="90" t="str">
        <f>INDEX(Table_TCZs_RP2[TCZ_Code],MATCH(BL25,Table_TCZs_RP2[TCZ_Name],0))</f>
        <v>EP_TCZ_Other</v>
      </c>
      <c r="BN25" t="str">
        <f>INDEX(Table_TCZs_RP2[Country_Name],MATCH(BL25,Table_TCZs_RP2[TCZ_Name],0))</f>
        <v>Poland</v>
      </c>
      <c r="BO25">
        <v>103.3252</v>
      </c>
      <c r="BR25" t="s">
        <v>211</v>
      </c>
      <c r="BS25">
        <v>2.0106701205785303E-2</v>
      </c>
      <c r="BT25">
        <v>0.45</v>
      </c>
      <c r="BV25" s="416" t="s">
        <v>211</v>
      </c>
      <c r="BW25" s="449">
        <v>99.317665391602645</v>
      </c>
      <c r="BX25" s="449">
        <v>103.3252</v>
      </c>
      <c r="BZ25" s="438" t="s">
        <v>218</v>
      </c>
      <c r="CA25" s="439">
        <v>-2.5999999999999999E-3</v>
      </c>
      <c r="CC25" t="s">
        <v>7</v>
      </c>
      <c r="CD25" t="s">
        <v>447</v>
      </c>
      <c r="CE25" t="s">
        <v>894</v>
      </c>
      <c r="CF25" t="s">
        <v>1715</v>
      </c>
      <c r="CG25" t="str">
        <f>Table_Safety_Targets[[#This Row],[ANSP]]&amp;Table_Safety_Targets[[#This Row],[Safety Area]]</f>
        <v>Slovenia ControlSafety policy and objectives</v>
      </c>
    </row>
    <row r="26" spans="2:85">
      <c r="B26" t="s">
        <v>474</v>
      </c>
      <c r="C26" t="s">
        <v>529</v>
      </c>
      <c r="E26" t="s">
        <v>211</v>
      </c>
      <c r="F26" t="s">
        <v>209</v>
      </c>
      <c r="G26" t="s">
        <v>444</v>
      </c>
      <c r="H26" t="s">
        <v>501</v>
      </c>
      <c r="I26" t="s">
        <v>444</v>
      </c>
      <c r="J26" t="s">
        <v>211</v>
      </c>
      <c r="R26">
        <v>22</v>
      </c>
      <c r="S26" t="s">
        <v>50</v>
      </c>
      <c r="T26" t="s">
        <v>1293</v>
      </c>
      <c r="U26" t="s">
        <v>585</v>
      </c>
      <c r="V26" t="s">
        <v>1294</v>
      </c>
      <c r="Y26" t="s">
        <v>141</v>
      </c>
      <c r="Z26" t="s">
        <v>590</v>
      </c>
      <c r="AA26" t="s">
        <v>214</v>
      </c>
      <c r="AB26">
        <v>182243</v>
      </c>
      <c r="AC26">
        <v>189681</v>
      </c>
      <c r="AD26">
        <v>211384</v>
      </c>
      <c r="AE26" s="72">
        <v>194436</v>
      </c>
      <c r="AI26" t="s">
        <v>45</v>
      </c>
      <c r="AJ26" s="405">
        <v>1.7899999999999999E-2</v>
      </c>
      <c r="AK26" s="405">
        <v>1.7600000000000001E-2</v>
      </c>
      <c r="AL26" s="405">
        <v>1.7600000000000001E-2</v>
      </c>
      <c r="AM26" s="405">
        <v>1.7999999999999999E-2</v>
      </c>
      <c r="AN26" s="405">
        <v>1.7999999999999999E-2</v>
      </c>
      <c r="AO26" s="405">
        <v>1.7999999999999999E-2</v>
      </c>
      <c r="AP26" s="405">
        <v>1.7999999999999999E-2</v>
      </c>
      <c r="AS26" t="s">
        <v>45</v>
      </c>
      <c r="AT26">
        <v>0.25413230919838847</v>
      </c>
      <c r="AU26">
        <v>0.23</v>
      </c>
      <c r="AV26">
        <v>0.23</v>
      </c>
      <c r="AW26">
        <v>0.09</v>
      </c>
      <c r="AX26">
        <v>0.13</v>
      </c>
      <c r="AY26">
        <v>0.13</v>
      </c>
      <c r="AZ26">
        <v>0.13</v>
      </c>
      <c r="BC26" t="s">
        <v>10</v>
      </c>
      <c r="BD26" t="s">
        <v>766</v>
      </c>
      <c r="BE26" t="s">
        <v>946</v>
      </c>
      <c r="BF26" t="s">
        <v>75</v>
      </c>
      <c r="BG26" t="s">
        <v>768</v>
      </c>
      <c r="BH26" s="471">
        <v>0.414046061984646</v>
      </c>
      <c r="BI26" s="471" t="s">
        <v>227</v>
      </c>
      <c r="BL26" s="90" t="str">
        <f>IFERROR(INDEX(Table_TCZs_RP2[TCZ_Name], MATCH(0, INDEX(COUNTIF($BL$5:BL25, Table_TCZs_RP2[TCZ_Name]), 0, 0), 0)), "")</f>
        <v>Portugal - TCZ</v>
      </c>
      <c r="BM26" s="90" t="str">
        <f>INDEX(Table_TCZs_RP2[TCZ_Code],MATCH(BL26,Table_TCZs_RP2[TCZ_Name],0))</f>
        <v>LP_TCZ</v>
      </c>
      <c r="BN26" t="str">
        <f>INDEX(Table_TCZs_RP2[Country_Name],MATCH(BL26,Table_TCZs_RP2[TCZ_Name],0))</f>
        <v>Portugal</v>
      </c>
      <c r="BO26">
        <v>101.50359999999999</v>
      </c>
      <c r="BR26" t="s">
        <v>45</v>
      </c>
      <c r="BS26">
        <v>0.96809291838613254</v>
      </c>
      <c r="BT26">
        <v>3.11725029601106</v>
      </c>
      <c r="BV26" s="415" t="s">
        <v>44</v>
      </c>
      <c r="BW26" s="449">
        <v>97.35141078938679</v>
      </c>
      <c r="BX26" s="449">
        <v>101.50359999999999</v>
      </c>
      <c r="BZ26" s="438" t="s">
        <v>211</v>
      </c>
      <c r="CA26" s="439">
        <v>-2.5000000000000001E-3</v>
      </c>
      <c r="CC26" t="s">
        <v>7</v>
      </c>
      <c r="CD26" t="s">
        <v>447</v>
      </c>
      <c r="CE26" t="s">
        <v>895</v>
      </c>
      <c r="CF26" t="s">
        <v>1715</v>
      </c>
      <c r="CG26" t="str">
        <f>Table_Safety_Targets[[#This Row],[ANSP]]&amp;Table_Safety_Targets[[#This Row],[Safety Area]]</f>
        <v>Slovenia ControlSafety risk management</v>
      </c>
    </row>
    <row r="27" spans="2:85">
      <c r="B27" t="s">
        <v>471</v>
      </c>
      <c r="C27" t="s">
        <v>530</v>
      </c>
      <c r="E27" t="s">
        <v>45</v>
      </c>
      <c r="F27" t="s">
        <v>43</v>
      </c>
      <c r="G27" t="s">
        <v>441</v>
      </c>
      <c r="H27" t="s">
        <v>502</v>
      </c>
      <c r="I27" t="s">
        <v>727</v>
      </c>
      <c r="J27" t="s">
        <v>44</v>
      </c>
      <c r="R27">
        <v>23</v>
      </c>
      <c r="S27" t="s">
        <v>50</v>
      </c>
      <c r="T27" t="s">
        <v>1295</v>
      </c>
      <c r="U27" t="s">
        <v>835</v>
      </c>
      <c r="V27" t="s">
        <v>1296</v>
      </c>
      <c r="Y27" t="s">
        <v>201</v>
      </c>
      <c r="Z27" t="s">
        <v>592</v>
      </c>
      <c r="AA27" t="s">
        <v>51</v>
      </c>
      <c r="AB27">
        <v>178968</v>
      </c>
      <c r="AC27">
        <v>188156</v>
      </c>
      <c r="AD27">
        <v>200134</v>
      </c>
      <c r="AE27" s="72">
        <v>189086</v>
      </c>
      <c r="AI27" t="s">
        <v>219</v>
      </c>
      <c r="AJ27" s="405">
        <v>2.1700000000000001E-2</v>
      </c>
      <c r="AK27" s="405">
        <v>1.55E-2</v>
      </c>
      <c r="AL27" s="405">
        <v>1.55E-2</v>
      </c>
      <c r="AM27" s="405">
        <v>2.1000000000000001E-2</v>
      </c>
      <c r="AN27" s="405">
        <v>2.0500000000000001E-2</v>
      </c>
      <c r="AO27" s="405">
        <v>2.0500000000000001E-2</v>
      </c>
      <c r="AP27" s="405">
        <v>2.0500000000000001E-2</v>
      </c>
      <c r="AS27" t="s">
        <v>219</v>
      </c>
      <c r="AT27">
        <v>0</v>
      </c>
      <c r="AU27">
        <v>0.14000000000000001</v>
      </c>
      <c r="AV27">
        <v>0.14000000000000001</v>
      </c>
      <c r="AW27">
        <v>0.02</v>
      </c>
      <c r="AX27">
        <v>0.04</v>
      </c>
      <c r="AY27">
        <v>0.04</v>
      </c>
      <c r="AZ27">
        <v>0.04</v>
      </c>
      <c r="BC27" t="s">
        <v>10</v>
      </c>
      <c r="BD27" t="s">
        <v>766</v>
      </c>
      <c r="BE27" t="s">
        <v>946</v>
      </c>
      <c r="BF27" t="s">
        <v>77</v>
      </c>
      <c r="BG27" t="s">
        <v>769</v>
      </c>
      <c r="BH27" s="471">
        <v>0.76656342580123893</v>
      </c>
      <c r="BI27" s="471" t="s">
        <v>227</v>
      </c>
      <c r="BL27" s="90" t="str">
        <f>IFERROR(INDEX(Table_TCZs_RP2[TCZ_Name], MATCH(0, INDEX(COUNTIF($BL$5:BL26, Table_TCZs_RP2[TCZ_Name]), 0, 0), 0)), "")</f>
        <v>Romania - TCZ</v>
      </c>
      <c r="BM27" s="90" t="str">
        <f>INDEX(Table_TCZs_RP2[TCZ_Code],MATCH(BL27,Table_TCZs_RP2[TCZ_Name],0))</f>
        <v>LR_TCZ</v>
      </c>
      <c r="BN27" t="str">
        <f>INDEX(Table_TCZs_RP2[Country_Name],MATCH(BL27,Table_TCZs_RP2[TCZ_Name],0))</f>
        <v>Romania</v>
      </c>
      <c r="BO27">
        <v>108.15989999999998</v>
      </c>
      <c r="BR27" t="s">
        <v>219</v>
      </c>
      <c r="BS27">
        <v>1.5170224025401306E-3</v>
      </c>
      <c r="BT27">
        <v>0.5</v>
      </c>
      <c r="BV27" s="416" t="s">
        <v>219</v>
      </c>
      <c r="BW27" s="449">
        <v>100.41375649023813</v>
      </c>
      <c r="BX27" s="449">
        <v>108.15989999999998</v>
      </c>
      <c r="BZ27" s="438" t="s">
        <v>1608</v>
      </c>
      <c r="CA27" s="439">
        <v>-1.9E-3</v>
      </c>
      <c r="CC27" t="s">
        <v>7</v>
      </c>
      <c r="CD27" t="s">
        <v>447</v>
      </c>
      <c r="CE27" t="s">
        <v>896</v>
      </c>
      <c r="CF27" t="s">
        <v>1715</v>
      </c>
      <c r="CG27" t="str">
        <f>Table_Safety_Targets[[#This Row],[ANSP]]&amp;Table_Safety_Targets[[#This Row],[Safety Area]]</f>
        <v>Slovenia ControlSafety assurance</v>
      </c>
    </row>
    <row r="28" spans="2:85">
      <c r="B28" t="s">
        <v>475</v>
      </c>
      <c r="C28" t="s">
        <v>531</v>
      </c>
      <c r="E28" t="s">
        <v>219</v>
      </c>
      <c r="F28" t="s">
        <v>217</v>
      </c>
      <c r="G28" t="s">
        <v>445</v>
      </c>
      <c r="H28" t="s">
        <v>503</v>
      </c>
      <c r="I28" t="s">
        <v>445</v>
      </c>
      <c r="J28" t="s">
        <v>219</v>
      </c>
      <c r="R28">
        <v>24</v>
      </c>
      <c r="S28" t="s">
        <v>215</v>
      </c>
      <c r="T28" t="s">
        <v>1297</v>
      </c>
      <c r="U28" t="s">
        <v>1298</v>
      </c>
      <c r="V28" t="s">
        <v>1299</v>
      </c>
      <c r="Y28" t="s">
        <v>193</v>
      </c>
      <c r="Z28" t="s">
        <v>597</v>
      </c>
      <c r="AA28" t="s">
        <v>14</v>
      </c>
      <c r="AB28">
        <v>183079</v>
      </c>
      <c r="AC28">
        <v>183591</v>
      </c>
      <c r="AD28">
        <v>180221</v>
      </c>
      <c r="AE28" s="72">
        <v>182297</v>
      </c>
      <c r="AI28" t="s">
        <v>6</v>
      </c>
      <c r="AJ28" s="405">
        <v>2.2200000000000001E-2</v>
      </c>
      <c r="AK28" s="405">
        <v>2.1000000000000001E-2</v>
      </c>
      <c r="AL28" s="405">
        <v>2.1000000000000001E-2</v>
      </c>
      <c r="AM28" s="405">
        <v>2.1499999999999998E-2</v>
      </c>
      <c r="AN28" s="405">
        <v>2.1299999999999999E-2</v>
      </c>
      <c r="AO28" s="405">
        <v>2.1299999999999999E-2</v>
      </c>
      <c r="AP28" s="405">
        <v>2.1299999999999999E-2</v>
      </c>
      <c r="AS28" t="s">
        <v>6</v>
      </c>
      <c r="AT28">
        <v>0</v>
      </c>
      <c r="AU28">
        <v>0.6</v>
      </c>
      <c r="AV28">
        <v>0.18</v>
      </c>
      <c r="AW28">
        <v>0.05</v>
      </c>
      <c r="AX28">
        <v>7.0000000000000007E-2</v>
      </c>
      <c r="AY28">
        <v>0.08</v>
      </c>
      <c r="AZ28">
        <v>7.0000000000000007E-2</v>
      </c>
      <c r="BC28" t="s">
        <v>10</v>
      </c>
      <c r="BD28" t="s">
        <v>766</v>
      </c>
      <c r="BE28" t="s">
        <v>946</v>
      </c>
      <c r="BF28" t="s">
        <v>76</v>
      </c>
      <c r="BG28" t="s">
        <v>770</v>
      </c>
      <c r="BH28" s="471">
        <v>0.60020376363418437</v>
      </c>
      <c r="BI28" s="471" t="s">
        <v>227</v>
      </c>
      <c r="BL28" s="90" t="str">
        <f>IFERROR(INDEX(Table_TCZs_RP2[TCZ_Name], MATCH(0, INDEX(COUNTIF($BL$5:BL27, Table_TCZs_RP2[TCZ_Name]), 0, 0), 0)), "")</f>
        <v>Spain - TCZ</v>
      </c>
      <c r="BM28" s="90" t="str">
        <f>INDEX(Table_TCZs_RP2[TCZ_Code],MATCH(BL28,Table_TCZs_RP2[TCZ_Name],0))</f>
        <v>LE_TCZ</v>
      </c>
      <c r="BN28" t="str">
        <f>INDEX(Table_TCZs_RP2[Country_Name],MATCH(BL28,Table_TCZs_RP2[TCZ_Name],0))</f>
        <v>Spain</v>
      </c>
      <c r="BO28">
        <v>102.51359999999998</v>
      </c>
      <c r="BR28" t="s">
        <v>6</v>
      </c>
      <c r="BS28" t="s">
        <v>892</v>
      </c>
      <c r="BT28" t="s">
        <v>892</v>
      </c>
      <c r="BV28" s="415" t="s">
        <v>6</v>
      </c>
      <c r="BW28" s="449">
        <v>99.413143338115006</v>
      </c>
      <c r="BX28" s="449">
        <v>105.36999999999999</v>
      </c>
      <c r="BZ28" s="438" t="s">
        <v>1609</v>
      </c>
      <c r="CA28" s="439">
        <v>-1.8E-3</v>
      </c>
      <c r="CC28" t="s">
        <v>7</v>
      </c>
      <c r="CD28" t="s">
        <v>447</v>
      </c>
      <c r="CE28" t="s">
        <v>897</v>
      </c>
      <c r="CF28" t="s">
        <v>1715</v>
      </c>
      <c r="CG28" t="str">
        <f>Table_Safety_Targets[[#This Row],[ANSP]]&amp;Table_Safety_Targets[[#This Row],[Safety Area]]</f>
        <v>Slovenia ControlSafety promotion</v>
      </c>
    </row>
    <row r="29" spans="2:85">
      <c r="B29" t="s">
        <v>467</v>
      </c>
      <c r="C29" t="s">
        <v>532</v>
      </c>
      <c r="E29" t="s">
        <v>6</v>
      </c>
      <c r="F29" t="s">
        <v>1</v>
      </c>
      <c r="G29" t="s">
        <v>438</v>
      </c>
      <c r="H29" t="s">
        <v>504</v>
      </c>
      <c r="I29" t="s">
        <v>725</v>
      </c>
      <c r="J29" t="s">
        <v>6</v>
      </c>
      <c r="R29">
        <v>25</v>
      </c>
      <c r="S29" t="s">
        <v>215</v>
      </c>
      <c r="T29" t="s">
        <v>1300</v>
      </c>
      <c r="U29" t="s">
        <v>1301</v>
      </c>
      <c r="V29" t="s">
        <v>1302</v>
      </c>
      <c r="Y29" t="s">
        <v>204</v>
      </c>
      <c r="Z29" t="s">
        <v>596</v>
      </c>
      <c r="AA29" t="s">
        <v>11</v>
      </c>
      <c r="AB29">
        <v>183959</v>
      </c>
      <c r="AC29">
        <v>171882</v>
      </c>
      <c r="AD29">
        <v>185309</v>
      </c>
      <c r="AE29" s="72">
        <v>180383.33333333334</v>
      </c>
      <c r="AI29" t="s">
        <v>7</v>
      </c>
      <c r="AJ29" s="405">
        <v>1.5100000000000001E-2</v>
      </c>
      <c r="AK29" s="405">
        <v>1.6799999999999999E-2</v>
      </c>
      <c r="AL29" s="405">
        <v>1.6799999999999999E-2</v>
      </c>
      <c r="AM29" s="405">
        <v>1.5530409614666008E-2</v>
      </c>
      <c r="AN29" s="405">
        <v>1.5530409614666008E-2</v>
      </c>
      <c r="AO29" s="405">
        <v>1.5530409614666008E-2</v>
      </c>
      <c r="AP29" s="405">
        <v>1.5530409614666008E-2</v>
      </c>
      <c r="AS29" t="s">
        <v>7</v>
      </c>
      <c r="AT29">
        <v>1.2322616589650313E-3</v>
      </c>
      <c r="AU29">
        <v>0.23</v>
      </c>
      <c r="AV29">
        <v>0.23</v>
      </c>
      <c r="AW29">
        <v>0.05</v>
      </c>
      <c r="AX29">
        <v>0.09</v>
      </c>
      <c r="AY29">
        <v>0.09</v>
      </c>
      <c r="AZ29">
        <v>0.09</v>
      </c>
      <c r="BC29" t="s">
        <v>10</v>
      </c>
      <c r="BD29" t="s">
        <v>766</v>
      </c>
      <c r="BE29" t="s">
        <v>946</v>
      </c>
      <c r="BF29" t="s">
        <v>78</v>
      </c>
      <c r="BG29" t="s">
        <v>771</v>
      </c>
      <c r="BH29" s="471">
        <v>0.24261064067742452</v>
      </c>
      <c r="BI29" s="471" t="s">
        <v>227</v>
      </c>
      <c r="BL29" s="90" t="str">
        <f>IFERROR(INDEX(Table_TCZs_RP2[TCZ_Name], MATCH(0, INDEX(COUNTIF($BL$5:BL28, Table_TCZs_RP2[TCZ_Name]), 0, 0), 0)), "")</f>
        <v>Sweden - TCZ</v>
      </c>
      <c r="BM29" s="90" t="str">
        <f>INDEX(Table_TCZs_RP2[TCZ_Code],MATCH(BL29,Table_TCZs_RP2[TCZ_Name],0))</f>
        <v>ES_TCZ_A</v>
      </c>
      <c r="BN29" t="str">
        <f>INDEX(Table_TCZs_RP2[Country_Name],MATCH(BL29,Table_TCZs_RP2[TCZ_Name],0))</f>
        <v>Sweden</v>
      </c>
      <c r="BO29">
        <v>103.73399999999999</v>
      </c>
      <c r="BR29" t="s">
        <v>7</v>
      </c>
      <c r="BS29" t="s">
        <v>892</v>
      </c>
      <c r="BT29" t="s">
        <v>892</v>
      </c>
      <c r="BV29" s="416" t="s">
        <v>7</v>
      </c>
      <c r="BW29" s="449">
        <v>99.417784005908686</v>
      </c>
      <c r="BX29" s="449">
        <v>103.63229999999999</v>
      </c>
      <c r="BZ29" s="438" t="s">
        <v>1610</v>
      </c>
      <c r="CA29" s="439">
        <v>-1.6000000000000001E-3</v>
      </c>
      <c r="CC29" t="s">
        <v>7</v>
      </c>
      <c r="CD29" t="s">
        <v>447</v>
      </c>
      <c r="CE29" t="s">
        <v>898</v>
      </c>
      <c r="CF29" t="s">
        <v>1715</v>
      </c>
      <c r="CG29" t="str">
        <f>Table_Safety_Targets[[#This Row],[ANSP]]&amp;Table_Safety_Targets[[#This Row],[Safety Area]]</f>
        <v>Slovenia ControlSafety culture</v>
      </c>
    </row>
    <row r="30" spans="2:85">
      <c r="B30" t="s">
        <v>477</v>
      </c>
      <c r="C30" t="s">
        <v>533</v>
      </c>
      <c r="E30" t="s">
        <v>7</v>
      </c>
      <c r="F30" t="s">
        <v>1</v>
      </c>
      <c r="G30" t="s">
        <v>447</v>
      </c>
      <c r="H30" t="s">
        <v>505</v>
      </c>
      <c r="I30" t="s">
        <v>447</v>
      </c>
      <c r="J30" t="s">
        <v>7</v>
      </c>
      <c r="R30">
        <v>26</v>
      </c>
      <c r="S30" t="s">
        <v>215</v>
      </c>
      <c r="T30" t="s">
        <v>1303</v>
      </c>
      <c r="U30" t="s">
        <v>1304</v>
      </c>
      <c r="V30" t="s">
        <v>1305</v>
      </c>
      <c r="Y30" t="s">
        <v>145</v>
      </c>
      <c r="Z30" t="s">
        <v>593</v>
      </c>
      <c r="AA30" t="s">
        <v>215</v>
      </c>
      <c r="AB30">
        <v>166770</v>
      </c>
      <c r="AC30">
        <v>178834</v>
      </c>
      <c r="AD30">
        <v>194434</v>
      </c>
      <c r="AE30" s="72">
        <v>180012.66666666666</v>
      </c>
      <c r="AI30" t="s">
        <v>47</v>
      </c>
      <c r="AJ30" s="405">
        <v>3.1099999999999999E-2</v>
      </c>
      <c r="AK30" s="405">
        <v>3.2300000000000002E-2</v>
      </c>
      <c r="AL30" s="405">
        <v>3.2300000000000002E-2</v>
      </c>
      <c r="AM30" s="405">
        <v>3.0800000000000001E-2</v>
      </c>
      <c r="AN30" s="405">
        <v>3.0800000000000001E-2</v>
      </c>
      <c r="AO30" s="405">
        <v>3.0800000000000001E-2</v>
      </c>
      <c r="AP30" s="405">
        <v>3.0800000000000001E-2</v>
      </c>
      <c r="AS30" t="s">
        <v>47</v>
      </c>
      <c r="AT30">
        <v>0.39660210454233125</v>
      </c>
      <c r="AU30">
        <v>0.47</v>
      </c>
      <c r="AV30">
        <v>0.36</v>
      </c>
      <c r="AW30">
        <v>0.12</v>
      </c>
      <c r="AX30">
        <v>0.2</v>
      </c>
      <c r="AY30">
        <v>0.19</v>
      </c>
      <c r="AZ30">
        <v>0.19</v>
      </c>
      <c r="BC30" t="s">
        <v>10</v>
      </c>
      <c r="BD30" t="s">
        <v>766</v>
      </c>
      <c r="BE30" t="s">
        <v>946</v>
      </c>
      <c r="BF30" t="s">
        <v>80</v>
      </c>
      <c r="BG30" t="s">
        <v>772</v>
      </c>
      <c r="BH30" s="471">
        <v>6.2027743317920377E-3</v>
      </c>
      <c r="BI30" s="471" t="s">
        <v>227</v>
      </c>
      <c r="BL30" s="90" t="str">
        <f>IFERROR(INDEX(Table_TCZs_RP2[TCZ_Name], MATCH(0, INDEX(COUNTIF($BL$5:BL29, Table_TCZs_RP2[TCZ_Name]), 0, 0), 0)), "")</f>
        <v>Switzerland - TCZ</v>
      </c>
      <c r="BM30" s="90" t="str">
        <f>INDEX(Table_TCZs_RP2[TCZ_Code],MATCH(BL30,Table_TCZs_RP2[TCZ_Name],0))</f>
        <v>LS_TCZ</v>
      </c>
      <c r="BN30" t="str">
        <f>INDEX(Table_TCZs_RP2[Country_Name],MATCH(BL30,Table_TCZs_RP2[TCZ_Name],0))</f>
        <v>Switzerland</v>
      </c>
      <c r="BO30">
        <v>101.30359999999999</v>
      </c>
      <c r="BR30" t="s">
        <v>47</v>
      </c>
      <c r="BS30">
        <v>0.29762247838616712</v>
      </c>
      <c r="BT30">
        <v>0.91</v>
      </c>
      <c r="BV30" s="415" t="s">
        <v>48</v>
      </c>
      <c r="BW30" s="449">
        <v>98.927785051608041</v>
      </c>
      <c r="BX30" s="449">
        <v>102.51359999999998</v>
      </c>
      <c r="BZ30" s="438" t="s">
        <v>1611</v>
      </c>
      <c r="CA30" s="439">
        <v>-1E-3</v>
      </c>
      <c r="CC30" t="s">
        <v>213</v>
      </c>
      <c r="CD30" t="s">
        <v>721</v>
      </c>
      <c r="CE30" t="s">
        <v>894</v>
      </c>
      <c r="CF30" t="s">
        <v>1715</v>
      </c>
      <c r="CG30" t="str">
        <f>Table_Safety_Targets[[#This Row],[ANSP]]&amp;Table_Safety_Targets[[#This Row],[Safety Area]]</f>
        <v>CYATSSafety policy and objectives</v>
      </c>
    </row>
    <row r="31" spans="2:85">
      <c r="B31" t="s">
        <v>450</v>
      </c>
      <c r="C31" t="s">
        <v>534</v>
      </c>
      <c r="D31" t="s">
        <v>535</v>
      </c>
      <c r="E31" t="s">
        <v>47</v>
      </c>
      <c r="F31" t="s">
        <v>43</v>
      </c>
      <c r="G31" t="s">
        <v>433</v>
      </c>
      <c r="H31" t="s">
        <v>506</v>
      </c>
      <c r="I31" t="s">
        <v>433</v>
      </c>
      <c r="J31" t="s">
        <v>48</v>
      </c>
      <c r="K31" t="s">
        <v>46</v>
      </c>
      <c r="R31">
        <v>27</v>
      </c>
      <c r="S31" t="s">
        <v>215</v>
      </c>
      <c r="T31" t="s">
        <v>1306</v>
      </c>
      <c r="U31" t="s">
        <v>1307</v>
      </c>
      <c r="V31" t="s">
        <v>1308</v>
      </c>
      <c r="Y31" t="s">
        <v>68</v>
      </c>
      <c r="Z31" t="s">
        <v>594</v>
      </c>
      <c r="AA31" t="s">
        <v>17</v>
      </c>
      <c r="AB31">
        <v>168581</v>
      </c>
      <c r="AC31">
        <v>176997</v>
      </c>
      <c r="AD31">
        <v>192494</v>
      </c>
      <c r="AE31" s="72">
        <v>179357.33333333334</v>
      </c>
      <c r="AI31" t="s">
        <v>0</v>
      </c>
      <c r="AJ31" s="405">
        <v>1.03E-2</v>
      </c>
      <c r="AK31" s="405">
        <v>1.26E-2</v>
      </c>
      <c r="AL31" s="405">
        <v>1.26E-2</v>
      </c>
      <c r="AM31" s="405">
        <v>1.0500000000000001E-2</v>
      </c>
      <c r="AN31" s="405">
        <v>1.0500000000000001E-2</v>
      </c>
      <c r="AO31" s="405">
        <v>1.0500000000000001E-2</v>
      </c>
      <c r="AP31" s="405">
        <v>1.0500000000000001E-2</v>
      </c>
      <c r="AS31" t="s">
        <v>0</v>
      </c>
      <c r="AT31">
        <v>7.9332233779038277E-3</v>
      </c>
      <c r="AU31">
        <v>0.115</v>
      </c>
      <c r="AV31">
        <v>0.15</v>
      </c>
      <c r="AW31">
        <v>0.05</v>
      </c>
      <c r="AX31">
        <v>7.0000000000000007E-2</v>
      </c>
      <c r="AY31">
        <v>0.08</v>
      </c>
      <c r="AZ31">
        <v>0.08</v>
      </c>
      <c r="BC31" t="s">
        <v>10</v>
      </c>
      <c r="BD31" t="s">
        <v>766</v>
      </c>
      <c r="BE31" t="s">
        <v>946</v>
      </c>
      <c r="BF31" t="s">
        <v>79</v>
      </c>
      <c r="BG31" t="s">
        <v>773</v>
      </c>
      <c r="BH31" s="471">
        <v>3.322048243757935E-2</v>
      </c>
      <c r="BI31" s="471" t="s">
        <v>227</v>
      </c>
      <c r="BL31" s="90" t="str">
        <f>IFERROR(INDEX(Table_TCZs_RP2[TCZ_Name], MATCH(0, INDEX(COUNTIF($BL$5:BL30, Table_TCZs_RP2[TCZ_Name]), 0, 0), 0)), "")</f>
        <v>UK - Zone B</v>
      </c>
      <c r="BM31" s="90" t="str">
        <f>INDEX(Table_TCZs_RP2[TCZ_Code],MATCH(BL31,Table_TCZs_RP2[TCZ_Name],0))</f>
        <v>EG_TCZ_B</v>
      </c>
      <c r="BN31" t="str">
        <f>INDEX(Table_TCZs_RP2[Country_Name],MATCH(BL31,Table_TCZs_RP2[TCZ_Name],0))</f>
        <v>United Kingdom</v>
      </c>
      <c r="BO31">
        <v>104.35592843877345</v>
      </c>
      <c r="BR31" t="s">
        <v>0</v>
      </c>
      <c r="BS31">
        <v>4.7191742607401894E-3</v>
      </c>
      <c r="BT31">
        <v>0.35</v>
      </c>
      <c r="BV31" t="s">
        <v>46</v>
      </c>
      <c r="BW31" s="449">
        <v>98.927785051608041</v>
      </c>
      <c r="BX31" s="449">
        <v>102.51359999999998</v>
      </c>
      <c r="BZ31" s="438" t="s">
        <v>219</v>
      </c>
      <c r="CA31" s="439">
        <v>-1E-3</v>
      </c>
      <c r="CC31" t="s">
        <v>213</v>
      </c>
      <c r="CD31" t="s">
        <v>721</v>
      </c>
      <c r="CE31" t="s">
        <v>895</v>
      </c>
      <c r="CF31" t="s">
        <v>1718</v>
      </c>
      <c r="CG31" t="str">
        <f>Table_Safety_Targets[[#This Row],[ANSP]]&amp;Table_Safety_Targets[[#This Row],[Safety Area]]</f>
        <v>CYATSSafety risk management</v>
      </c>
    </row>
    <row r="32" spans="2:85">
      <c r="B32" t="s">
        <v>465</v>
      </c>
      <c r="C32" t="s">
        <v>450</v>
      </c>
      <c r="E32" t="s">
        <v>0</v>
      </c>
      <c r="F32" t="s">
        <v>220</v>
      </c>
      <c r="G32" t="s">
        <v>436</v>
      </c>
      <c r="H32" t="s">
        <v>507</v>
      </c>
      <c r="I32" t="s">
        <v>723</v>
      </c>
      <c r="J32" t="s">
        <v>0</v>
      </c>
      <c r="R32">
        <v>28</v>
      </c>
      <c r="S32" t="s">
        <v>41</v>
      </c>
      <c r="T32" t="s">
        <v>1309</v>
      </c>
      <c r="U32" t="s">
        <v>841</v>
      </c>
      <c r="V32" t="s">
        <v>1310</v>
      </c>
      <c r="Y32" t="s">
        <v>164</v>
      </c>
      <c r="Z32" t="s">
        <v>595</v>
      </c>
      <c r="AA32" t="s">
        <v>211</v>
      </c>
      <c r="AB32">
        <v>153805</v>
      </c>
      <c r="AC32">
        <v>171059</v>
      </c>
      <c r="AD32">
        <v>187235</v>
      </c>
      <c r="AE32" s="72">
        <v>170699.66666666666</v>
      </c>
      <c r="AI32" t="s">
        <v>14</v>
      </c>
      <c r="AJ32" s="405"/>
      <c r="AK32" s="405">
        <v>4.7800000000000002E-2</v>
      </c>
      <c r="AL32" s="405">
        <v>0</v>
      </c>
      <c r="AM32" s="405">
        <v>3.95E-2</v>
      </c>
      <c r="AN32" s="405">
        <v>3.95E-2</v>
      </c>
      <c r="AO32" s="405">
        <v>3.95E-2</v>
      </c>
      <c r="AP32" s="405">
        <v>3.95E-2</v>
      </c>
      <c r="AS32" t="s">
        <v>14</v>
      </c>
      <c r="AT32">
        <v>3.6070058469260195E-2</v>
      </c>
      <c r="AU32">
        <v>0.47</v>
      </c>
      <c r="AV32" t="s">
        <v>227</v>
      </c>
      <c r="AW32">
        <v>0.12</v>
      </c>
      <c r="AX32">
        <v>0.19</v>
      </c>
      <c r="AY32">
        <v>0.19</v>
      </c>
      <c r="AZ32">
        <v>0.19</v>
      </c>
      <c r="BC32" t="s">
        <v>10</v>
      </c>
      <c r="BD32" t="s">
        <v>766</v>
      </c>
      <c r="BE32" t="s">
        <v>946</v>
      </c>
      <c r="BF32" t="s">
        <v>82</v>
      </c>
      <c r="BG32" t="s">
        <v>774</v>
      </c>
      <c r="BH32" s="471">
        <v>5.3578190079515337E-2</v>
      </c>
      <c r="BI32" s="471" t="s">
        <v>227</v>
      </c>
      <c r="BL32" s="90" t="str">
        <f>IFERROR(INDEX(Table_TCZs_RP2[TCZ_Name], MATCH(0, INDEX(COUNTIF($BL$5:BL31, Table_TCZs_RP2[TCZ_Name]), 0, 0), 0)), "")</f>
        <v>UK - Zone C</v>
      </c>
      <c r="BM32" s="90" t="str">
        <f>INDEX(Table_TCZs_RP2[TCZ_Code],MATCH(BL32,Table_TCZs_RP2[TCZ_Name],0))</f>
        <v>EG_TCZ_C</v>
      </c>
      <c r="BN32" t="str">
        <f>INDEX(Table_TCZs_RP2[Country_Name],MATCH(BL32,Table_TCZs_RP2[TCZ_Name],0))</f>
        <v>United Kingdom</v>
      </c>
      <c r="BO32">
        <v>104.35592843877345</v>
      </c>
      <c r="BR32" t="s">
        <v>14</v>
      </c>
      <c r="BS32">
        <v>0.55368171537926236</v>
      </c>
      <c r="BT32">
        <v>1.94</v>
      </c>
      <c r="BV32" s="416" t="s">
        <v>0</v>
      </c>
      <c r="BW32" s="449">
        <v>96.392931859876015</v>
      </c>
      <c r="BX32" s="449">
        <v>103.73399999999999</v>
      </c>
      <c r="BZ32" s="438" t="s">
        <v>4</v>
      </c>
      <c r="CA32" s="439">
        <v>-6.9999999999999999E-4</v>
      </c>
      <c r="CC32" t="s">
        <v>213</v>
      </c>
      <c r="CD32" t="s">
        <v>721</v>
      </c>
      <c r="CE32" t="s">
        <v>896</v>
      </c>
      <c r="CF32" t="s">
        <v>1715</v>
      </c>
      <c r="CG32" t="str">
        <f>Table_Safety_Targets[[#This Row],[ANSP]]&amp;Table_Safety_Targets[[#This Row],[Safety Area]]</f>
        <v>CYATSSafety assurance</v>
      </c>
    </row>
    <row r="33" spans="2:85">
      <c r="B33" t="s">
        <v>476</v>
      </c>
      <c r="C33" t="s">
        <v>536</v>
      </c>
      <c r="E33" t="s">
        <v>14</v>
      </c>
      <c r="F33" t="s">
        <v>8</v>
      </c>
      <c r="G33" t="s">
        <v>446</v>
      </c>
      <c r="H33" t="s">
        <v>508</v>
      </c>
      <c r="I33" t="s">
        <v>726</v>
      </c>
      <c r="J33" t="s">
        <v>14</v>
      </c>
      <c r="R33">
        <v>29</v>
      </c>
      <c r="S33" t="s">
        <v>210</v>
      </c>
      <c r="T33" t="s">
        <v>1311</v>
      </c>
      <c r="U33" t="s">
        <v>1312</v>
      </c>
      <c r="V33" t="s">
        <v>1313</v>
      </c>
      <c r="Y33" t="s">
        <v>129</v>
      </c>
      <c r="Z33" t="s">
        <v>599</v>
      </c>
      <c r="AA33" t="s">
        <v>11</v>
      </c>
      <c r="AB33">
        <v>152323</v>
      </c>
      <c r="AC33">
        <v>154478</v>
      </c>
      <c r="AD33">
        <v>149338</v>
      </c>
      <c r="AE33" s="72">
        <v>152046.33333333334</v>
      </c>
      <c r="AI33" t="s">
        <v>51</v>
      </c>
      <c r="AJ33" s="405">
        <v>3.3500000000000002E-2</v>
      </c>
      <c r="AK33" s="405">
        <v>4.0599999999999997E-2</v>
      </c>
      <c r="AL33" s="405">
        <v>3.5299999999999998E-2</v>
      </c>
      <c r="AM33" s="405"/>
      <c r="AN33" s="405"/>
      <c r="AO33" s="405"/>
      <c r="AP33" s="405"/>
      <c r="AS33" t="s">
        <v>51</v>
      </c>
      <c r="AT33">
        <v>2.0888687575596185E-2</v>
      </c>
      <c r="AU33">
        <v>0.26</v>
      </c>
      <c r="AV33">
        <v>0.34</v>
      </c>
      <c r="AW33">
        <v>0.15</v>
      </c>
      <c r="AX33">
        <v>0.27</v>
      </c>
      <c r="AY33">
        <v>0.26</v>
      </c>
      <c r="AZ33">
        <v>0.27</v>
      </c>
      <c r="BC33" t="s">
        <v>10</v>
      </c>
      <c r="BD33" t="s">
        <v>766</v>
      </c>
      <c r="BE33" t="s">
        <v>946</v>
      </c>
      <c r="BF33" t="s">
        <v>81</v>
      </c>
      <c r="BG33" t="s">
        <v>775</v>
      </c>
      <c r="BH33" s="471">
        <v>0.33402646502835537</v>
      </c>
      <c r="BI33" s="471" t="s">
        <v>227</v>
      </c>
      <c r="BL33" s="90" t="str">
        <f>IFERROR(INDEX(Table_TCZs_RP2[TCZ_Name], MATCH(0, INDEX(COUNTIF($BL$5:BL32, Table_TCZs_RP2[TCZ_Name]), 0, 0), 0)), "")</f>
        <v/>
      </c>
      <c r="BM33" s="90" t="e">
        <f>INDEX(Table_TCZs_RP2[TCZ_Code],MATCH(BL33,Table_TCZs_RP2[TCZ_Name],0))</f>
        <v>#N/A</v>
      </c>
      <c r="BN33" t="e">
        <f>INDEX(Table_TCZs_RP2[Country_Name],MATCH(BL33,Table_TCZs_RP2[TCZ_Name],0))</f>
        <v>#N/A</v>
      </c>
      <c r="BR33" t="s">
        <v>51</v>
      </c>
      <c r="BS33" t="s">
        <v>892</v>
      </c>
      <c r="BT33">
        <v>1.0900000000000001</v>
      </c>
      <c r="BV33" s="415" t="s">
        <v>14</v>
      </c>
      <c r="BW33" s="449">
        <v>100.70876411171487</v>
      </c>
      <c r="BX33" s="449">
        <v>101.30359999999999</v>
      </c>
      <c r="BZ33" s="438" t="s">
        <v>42</v>
      </c>
      <c r="CA33" s="439">
        <v>-5.0000000000000001E-4</v>
      </c>
      <c r="CC33" t="s">
        <v>213</v>
      </c>
      <c r="CD33" t="s">
        <v>721</v>
      </c>
      <c r="CE33" t="s">
        <v>897</v>
      </c>
      <c r="CF33" t="s">
        <v>1715</v>
      </c>
      <c r="CG33" t="str">
        <f>Table_Safety_Targets[[#This Row],[ANSP]]&amp;Table_Safety_Targets[[#This Row],[Safety Area]]</f>
        <v>CYATSSafety promotion</v>
      </c>
    </row>
    <row r="34" spans="2:85">
      <c r="B34" t="s">
        <v>470</v>
      </c>
      <c r="C34" t="s">
        <v>537</v>
      </c>
      <c r="E34" t="s">
        <v>51</v>
      </c>
      <c r="F34" t="s">
        <v>49</v>
      </c>
      <c r="G34" t="s">
        <v>53</v>
      </c>
      <c r="H34" t="s">
        <v>509</v>
      </c>
      <c r="I34" t="s">
        <v>728</v>
      </c>
      <c r="J34" t="s">
        <v>51</v>
      </c>
      <c r="R34">
        <v>30</v>
      </c>
      <c r="S34" t="s">
        <v>216</v>
      </c>
      <c r="T34" t="s">
        <v>1314</v>
      </c>
      <c r="U34" t="s">
        <v>216</v>
      </c>
      <c r="V34" t="s">
        <v>1315</v>
      </c>
      <c r="Y34" t="s">
        <v>62</v>
      </c>
      <c r="Z34" t="s">
        <v>598</v>
      </c>
      <c r="AA34" t="s">
        <v>3</v>
      </c>
      <c r="AB34">
        <v>132026</v>
      </c>
      <c r="AC34">
        <v>144013</v>
      </c>
      <c r="AD34">
        <v>151050</v>
      </c>
      <c r="AE34" s="72">
        <v>142363</v>
      </c>
      <c r="AI34" t="s">
        <v>8</v>
      </c>
      <c r="AJ34" s="453">
        <v>2.9399999999999999E-2</v>
      </c>
      <c r="AK34" s="453">
        <v>3.2500000000000001E-2</v>
      </c>
      <c r="AL34" s="405">
        <v>2.9000000000000001E-2</v>
      </c>
      <c r="AM34" s="480">
        <v>3.32E-2</v>
      </c>
      <c r="AN34" s="480">
        <v>2.75E-2</v>
      </c>
      <c r="AO34" s="480">
        <v>2.75E-2</v>
      </c>
      <c r="AP34" s="480">
        <v>2.75E-2</v>
      </c>
      <c r="AS34" t="s">
        <v>8</v>
      </c>
      <c r="AT34">
        <v>0.41679817789417112</v>
      </c>
      <c r="AU34">
        <v>3.45</v>
      </c>
      <c r="AV34">
        <v>0.69</v>
      </c>
      <c r="AW34">
        <v>0.27</v>
      </c>
      <c r="AX34">
        <v>0.37</v>
      </c>
      <c r="AY34">
        <v>0.37</v>
      </c>
      <c r="AZ34">
        <v>0.37</v>
      </c>
      <c r="BC34" t="s">
        <v>10</v>
      </c>
      <c r="BD34" t="s">
        <v>766</v>
      </c>
      <c r="BE34" t="s">
        <v>946</v>
      </c>
      <c r="BF34" t="s">
        <v>84</v>
      </c>
      <c r="BG34" t="s">
        <v>776</v>
      </c>
      <c r="BH34" s="471">
        <v>0</v>
      </c>
      <c r="BI34" s="471" t="s">
        <v>227</v>
      </c>
      <c r="BL34" s="90" t="str">
        <f>IFERROR(INDEX(Table_TCZs_RP2[TCZ_Name], MATCH(0, INDEX(COUNTIF($BL$5:BL33, Table_TCZs_RP2[TCZ_Name]), 0, 0), 0)), "")</f>
        <v/>
      </c>
      <c r="BM34" s="90" t="e">
        <f>INDEX(Table_TCZs_RP2[TCZ_Code],MATCH(BL34,Table_TCZs_RP2[TCZ_Name],0))</f>
        <v>#N/A</v>
      </c>
      <c r="BN34" t="e">
        <f>INDEX(Table_TCZs_RP2[Country_Name],MATCH(BL34,Table_TCZs_RP2[TCZ_Name],0))</f>
        <v>#N/A</v>
      </c>
      <c r="BV34" s="416" t="s">
        <v>51</v>
      </c>
      <c r="BW34" s="449">
        <v>96.694124574908471</v>
      </c>
      <c r="BX34" s="449">
        <v>104.35592843877345</v>
      </c>
      <c r="BZ34" s="438" t="s">
        <v>214</v>
      </c>
      <c r="CA34" s="439">
        <v>-1E-4</v>
      </c>
      <c r="CC34" t="s">
        <v>213</v>
      </c>
      <c r="CD34" t="s">
        <v>721</v>
      </c>
      <c r="CE34" t="s">
        <v>898</v>
      </c>
      <c r="CF34" t="s">
        <v>1715</v>
      </c>
      <c r="CG34" t="str">
        <f>Table_Safety_Targets[[#This Row],[ANSP]]&amp;Table_Safety_Targets[[#This Row],[Safety Area]]</f>
        <v>CYATSSafety culture</v>
      </c>
    </row>
    <row r="35" spans="2:85">
      <c r="R35">
        <v>31</v>
      </c>
      <c r="S35" t="s">
        <v>13</v>
      </c>
      <c r="T35" t="s">
        <v>1316</v>
      </c>
      <c r="U35" t="s">
        <v>572</v>
      </c>
      <c r="V35" t="s">
        <v>1317</v>
      </c>
      <c r="Y35" t="s">
        <v>71</v>
      </c>
      <c r="Z35" t="s">
        <v>600</v>
      </c>
      <c r="AA35" t="s">
        <v>10</v>
      </c>
      <c r="AB35">
        <v>139549</v>
      </c>
      <c r="AC35">
        <v>142623</v>
      </c>
      <c r="AD35">
        <v>143599</v>
      </c>
      <c r="AE35" s="72">
        <v>141923.66666666666</v>
      </c>
      <c r="AS35" t="s">
        <v>1462</v>
      </c>
      <c r="AT35">
        <v>1.3013754550431751E-2</v>
      </c>
      <c r="AU35">
        <v>0.95</v>
      </c>
      <c r="AV35" t="s">
        <v>227</v>
      </c>
      <c r="AW35">
        <v>0.13</v>
      </c>
      <c r="AX35">
        <v>0.19</v>
      </c>
      <c r="AY35">
        <v>0.19</v>
      </c>
      <c r="AZ35">
        <v>0.19</v>
      </c>
      <c r="BC35" t="s">
        <v>10</v>
      </c>
      <c r="BD35" t="s">
        <v>766</v>
      </c>
      <c r="BE35" t="s">
        <v>946</v>
      </c>
      <c r="BF35" t="s">
        <v>85</v>
      </c>
      <c r="BG35" t="s">
        <v>777</v>
      </c>
      <c r="BH35" s="471">
        <v>0</v>
      </c>
      <c r="BI35" s="471" t="s">
        <v>227</v>
      </c>
      <c r="BL35" s="90" t="str">
        <f>IFERROR(INDEX(Table_TCZs_RP2[TCZ_Name], MATCH(0, INDEX(COUNTIF($BL$5:BL34, Table_TCZs_RP2[TCZ_Name]), 0, 0), 0)), "")</f>
        <v/>
      </c>
      <c r="BM35" s="90" t="e">
        <f>INDEX(Table_TCZs_RP2[TCZ_Code],MATCH(BL35,Table_TCZs_RP2[TCZ_Name],0))</f>
        <v>#N/A</v>
      </c>
      <c r="BN35" t="e">
        <f>INDEX(Table_TCZs_RP2[Country_Name],MATCH(BL35,Table_TCZs_RP2[TCZ_Name],0))</f>
        <v>#N/A</v>
      </c>
      <c r="BZ35" s="438" t="s">
        <v>17</v>
      </c>
      <c r="CA35" s="439">
        <v>1E-3</v>
      </c>
      <c r="CC35" t="s">
        <v>17</v>
      </c>
      <c r="CD35" t="s">
        <v>1719</v>
      </c>
      <c r="CE35" t="s">
        <v>894</v>
      </c>
      <c r="CF35" t="s">
        <v>1715</v>
      </c>
      <c r="CG35" t="str">
        <f>Table_Safety_Targets[[#This Row],[ANSP]]&amp;Table_Safety_Targets[[#This Row],[Safety Area]]</f>
        <v>ANS FinlandSafety policy and objectives</v>
      </c>
    </row>
    <row r="36" spans="2:85">
      <c r="R36">
        <v>32</v>
      </c>
      <c r="S36" t="s">
        <v>13</v>
      </c>
      <c r="T36" t="s">
        <v>1318</v>
      </c>
      <c r="U36" t="s">
        <v>1319</v>
      </c>
      <c r="V36" t="s">
        <v>1320</v>
      </c>
      <c r="Y36" t="s">
        <v>130</v>
      </c>
      <c r="Z36" t="s">
        <v>601</v>
      </c>
      <c r="AA36" t="s">
        <v>11</v>
      </c>
      <c r="AB36">
        <v>134393</v>
      </c>
      <c r="AC36">
        <v>138832</v>
      </c>
      <c r="AD36">
        <v>141991</v>
      </c>
      <c r="AE36" s="72">
        <v>138405.33333333334</v>
      </c>
      <c r="AS36" t="s">
        <v>1463</v>
      </c>
      <c r="AW36">
        <v>7.0000000000000007E-2</v>
      </c>
      <c r="AX36">
        <v>0.11</v>
      </c>
      <c r="AY36">
        <v>0.12</v>
      </c>
      <c r="AZ36">
        <v>0.12</v>
      </c>
      <c r="BC36" t="s">
        <v>10</v>
      </c>
      <c r="BD36" t="s">
        <v>766</v>
      </c>
      <c r="BE36" t="s">
        <v>946</v>
      </c>
      <c r="BF36" t="s">
        <v>83</v>
      </c>
      <c r="BG36" t="s">
        <v>778</v>
      </c>
      <c r="BH36" s="471">
        <v>0</v>
      </c>
      <c r="BI36" s="471" t="s">
        <v>227</v>
      </c>
      <c r="BL36" s="90" t="str">
        <f>IFERROR(INDEX(Table_TCZs_RP2[TCZ_Name], MATCH(0, INDEX(COUNTIF($BL$5:BL35, Table_TCZs_RP2[TCZ_Name]), 0, 0), 0)), "")</f>
        <v/>
      </c>
      <c r="BM36" s="90" t="e">
        <f>INDEX(Table_TCZs_RP2[TCZ_Code],MATCH(BL36,Table_TCZs_RP2[TCZ_Name],0))</f>
        <v>#N/A</v>
      </c>
      <c r="BN36" t="e">
        <f>INDEX(Table_TCZs_RP2[Country_Name],MATCH(BL36,Table_TCZs_RP2[TCZ_Name],0))</f>
        <v>#N/A</v>
      </c>
      <c r="BZ36" s="438" t="s">
        <v>48</v>
      </c>
      <c r="CA36" s="439">
        <v>1.1999999999999999E-3</v>
      </c>
      <c r="CC36" t="s">
        <v>17</v>
      </c>
      <c r="CD36" t="s">
        <v>1719</v>
      </c>
      <c r="CE36" t="s">
        <v>895</v>
      </c>
      <c r="CF36" t="s">
        <v>1718</v>
      </c>
      <c r="CG36" t="str">
        <f>Table_Safety_Targets[[#This Row],[ANSP]]&amp;Table_Safety_Targets[[#This Row],[Safety Area]]</f>
        <v>ANS FinlandSafety risk management</v>
      </c>
    </row>
    <row r="37" spans="2:85">
      <c r="R37">
        <v>33</v>
      </c>
      <c r="S37" t="s">
        <v>42</v>
      </c>
      <c r="T37" t="s">
        <v>1321</v>
      </c>
      <c r="U37" t="s">
        <v>1322</v>
      </c>
      <c r="V37" t="s">
        <v>1323</v>
      </c>
      <c r="Y37" t="s">
        <v>195</v>
      </c>
      <c r="Z37" t="s">
        <v>603</v>
      </c>
      <c r="AA37" t="s">
        <v>51</v>
      </c>
      <c r="AB37">
        <v>130914</v>
      </c>
      <c r="AC37">
        <v>135083</v>
      </c>
      <c r="AD37">
        <v>135772</v>
      </c>
      <c r="AE37" s="72">
        <v>133923</v>
      </c>
      <c r="AS37" t="s">
        <v>1464</v>
      </c>
      <c r="AW37">
        <v>0.09</v>
      </c>
      <c r="AX37">
        <v>0.14000000000000001</v>
      </c>
      <c r="AY37">
        <v>0.14000000000000001</v>
      </c>
      <c r="AZ37">
        <v>0.14000000000000001</v>
      </c>
      <c r="BC37" t="s">
        <v>10</v>
      </c>
      <c r="BD37" t="s">
        <v>766</v>
      </c>
      <c r="BE37" t="s">
        <v>946</v>
      </c>
      <c r="BF37" t="s">
        <v>89</v>
      </c>
      <c r="BG37" t="s">
        <v>779</v>
      </c>
      <c r="BH37" s="471">
        <v>0</v>
      </c>
      <c r="BI37" s="471" t="s">
        <v>227</v>
      </c>
      <c r="BL37" s="90" t="str">
        <f>IFERROR(INDEX(Table_TCZs_RP2[TCZ_Name], MATCH(0, INDEX(COUNTIF($BL$5:BL36, Table_TCZs_RP2[TCZ_Name]), 0, 0), 0)), "")</f>
        <v/>
      </c>
      <c r="BM37" s="90" t="e">
        <f>INDEX(Table_TCZs_RP2[TCZ_Code],MATCH(BL37,Table_TCZs_RP2[TCZ_Name],0))</f>
        <v>#N/A</v>
      </c>
      <c r="BN37" t="e">
        <f>INDEX(Table_TCZs_RP2[Country_Name],MATCH(BL37,Table_TCZs_RP2[TCZ_Name],0))</f>
        <v>#N/A</v>
      </c>
      <c r="BZ37" s="438" t="s">
        <v>46</v>
      </c>
      <c r="CA37" s="439">
        <v>1.2999999999999999E-3</v>
      </c>
      <c r="CC37" t="s">
        <v>17</v>
      </c>
      <c r="CD37" t="s">
        <v>1719</v>
      </c>
      <c r="CE37" t="s">
        <v>896</v>
      </c>
      <c r="CF37" t="s">
        <v>1715</v>
      </c>
      <c r="CG37" t="str">
        <f>Table_Safety_Targets[[#This Row],[ANSP]]&amp;Table_Safety_Targets[[#This Row],[Safety Area]]</f>
        <v>ANS FinlandSafety assurance</v>
      </c>
    </row>
    <row r="38" spans="2:85">
      <c r="R38">
        <v>34</v>
      </c>
      <c r="S38" t="s">
        <v>42</v>
      </c>
      <c r="T38" t="s">
        <v>1324</v>
      </c>
      <c r="U38" t="s">
        <v>1325</v>
      </c>
      <c r="V38" t="s">
        <v>1326</v>
      </c>
      <c r="Y38" t="s">
        <v>188</v>
      </c>
      <c r="Z38" t="s">
        <v>602</v>
      </c>
      <c r="AA38" t="s">
        <v>47</v>
      </c>
      <c r="AB38">
        <v>122033</v>
      </c>
      <c r="AC38">
        <v>134817</v>
      </c>
      <c r="AD38">
        <v>137509</v>
      </c>
      <c r="AE38" s="72">
        <v>131453</v>
      </c>
      <c r="AS38" t="s">
        <v>1465</v>
      </c>
      <c r="AW38">
        <v>0.04</v>
      </c>
      <c r="AX38">
        <v>0.09</v>
      </c>
      <c r="AY38">
        <v>0.09</v>
      </c>
      <c r="AZ38">
        <v>0.09</v>
      </c>
      <c r="BC38" t="s">
        <v>10</v>
      </c>
      <c r="BD38" t="s">
        <v>766</v>
      </c>
      <c r="BE38" t="s">
        <v>946</v>
      </c>
      <c r="BF38" t="s">
        <v>86</v>
      </c>
      <c r="BG38" t="s">
        <v>780</v>
      </c>
      <c r="BH38" s="471">
        <v>2.971771990529958</v>
      </c>
      <c r="BI38" s="471" t="s">
        <v>227</v>
      </c>
      <c r="BL38" s="90" t="str">
        <f>IFERROR(INDEX(Table_TCZs_RP2[TCZ_Name], MATCH(0, INDEX(COUNTIF($BL$5:BL37, Table_TCZs_RP2[TCZ_Name]), 0, 0), 0)), "")</f>
        <v/>
      </c>
      <c r="BM38" s="90" t="e">
        <f>INDEX(Table_TCZs_RP2[TCZ_Code],MATCH(BL38,Table_TCZs_RP2[TCZ_Name],0))</f>
        <v>#N/A</v>
      </c>
      <c r="BN38" t="e">
        <f>INDEX(Table_TCZs_RP2[Country_Name],MATCH(BL38,Table_TCZs_RP2[TCZ_Name],0))</f>
        <v>#N/A</v>
      </c>
      <c r="BZ38" s="438" t="s">
        <v>215</v>
      </c>
      <c r="CA38" s="439">
        <v>1.4E-3</v>
      </c>
      <c r="CC38" t="s">
        <v>17</v>
      </c>
      <c r="CD38" t="s">
        <v>1719</v>
      </c>
      <c r="CE38" t="s">
        <v>897</v>
      </c>
      <c r="CF38" t="s">
        <v>1715</v>
      </c>
      <c r="CG38" t="str">
        <f>Table_Safety_Targets[[#This Row],[ANSP]]&amp;Table_Safety_Targets[[#This Row],[Safety Area]]</f>
        <v>ANS FinlandSafety promotion</v>
      </c>
    </row>
    <row r="39" spans="2:85">
      <c r="R39">
        <v>35</v>
      </c>
      <c r="S39" t="s">
        <v>42</v>
      </c>
      <c r="T39" t="s">
        <v>1327</v>
      </c>
      <c r="U39" t="s">
        <v>1328</v>
      </c>
      <c r="V39" t="s">
        <v>1329</v>
      </c>
      <c r="Y39" t="s">
        <v>194</v>
      </c>
      <c r="Z39" t="s">
        <v>604</v>
      </c>
      <c r="AA39" t="s">
        <v>51</v>
      </c>
      <c r="AB39">
        <v>121219</v>
      </c>
      <c r="AC39">
        <v>127268</v>
      </c>
      <c r="AD39">
        <v>129525</v>
      </c>
      <c r="AE39" s="72">
        <v>126004</v>
      </c>
      <c r="AS39" t="s">
        <v>1466</v>
      </c>
      <c r="AW39">
        <v>0.05</v>
      </c>
      <c r="AX39">
        <v>0.08</v>
      </c>
      <c r="AY39">
        <v>0.09</v>
      </c>
      <c r="AZ39">
        <v>0.08</v>
      </c>
      <c r="BC39" t="s">
        <v>10</v>
      </c>
      <c r="BD39" t="s">
        <v>766</v>
      </c>
      <c r="BE39" t="s">
        <v>946</v>
      </c>
      <c r="BF39" t="s">
        <v>88</v>
      </c>
      <c r="BG39" t="s">
        <v>781</v>
      </c>
      <c r="BH39" s="471">
        <v>1.5895443306252208E-3</v>
      </c>
      <c r="BI39" s="471" t="s">
        <v>227</v>
      </c>
      <c r="BL39" s="90" t="str">
        <f>IFERROR(INDEX(Table_TCZs_RP2[TCZ_Name], MATCH(0, INDEX(COUNTIF($BL$5:BL38, Table_TCZs_RP2[TCZ_Name]), 0, 0), 0)), "")</f>
        <v/>
      </c>
      <c r="BM39" s="90" t="e">
        <f>INDEX(Table_TCZs_RP2[TCZ_Code],MATCH(BL39,Table_TCZs_RP2[TCZ_Name],0))</f>
        <v>#N/A</v>
      </c>
      <c r="BN39" t="e">
        <f>INDEX(Table_TCZs_RP2[Country_Name],MATCH(BL39,Table_TCZs_RP2[TCZ_Name],0))</f>
        <v>#N/A</v>
      </c>
      <c r="BZ39" s="438" t="s">
        <v>11</v>
      </c>
      <c r="CA39" s="439">
        <v>1.5E-3</v>
      </c>
      <c r="CC39" t="s">
        <v>17</v>
      </c>
      <c r="CD39" t="s">
        <v>1719</v>
      </c>
      <c r="CE39" t="s">
        <v>898</v>
      </c>
      <c r="CF39" t="s">
        <v>1715</v>
      </c>
      <c r="CG39" t="str">
        <f>Table_Safety_Targets[[#This Row],[ANSP]]&amp;Table_Safety_Targets[[#This Row],[Safety Area]]</f>
        <v>ANS FinlandSafety culture</v>
      </c>
    </row>
    <row r="40" spans="2:85">
      <c r="R40">
        <v>36</v>
      </c>
      <c r="S40" t="s">
        <v>211</v>
      </c>
      <c r="T40" t="s">
        <v>1330</v>
      </c>
      <c r="U40" t="s">
        <v>1331</v>
      </c>
      <c r="V40" t="s">
        <v>1332</v>
      </c>
      <c r="Y40" t="s">
        <v>131</v>
      </c>
      <c r="Z40" t="s">
        <v>605</v>
      </c>
      <c r="AA40" t="s">
        <v>11</v>
      </c>
      <c r="AB40">
        <v>119023</v>
      </c>
      <c r="AC40">
        <v>117993</v>
      </c>
      <c r="AD40">
        <v>128323</v>
      </c>
      <c r="AE40" s="72">
        <v>121779.66666666667</v>
      </c>
      <c r="AS40" t="s">
        <v>1467</v>
      </c>
      <c r="AW40">
        <v>0.15</v>
      </c>
      <c r="AX40">
        <v>0.25</v>
      </c>
      <c r="AY40">
        <v>0.26</v>
      </c>
      <c r="AZ40">
        <v>0.25</v>
      </c>
      <c r="BC40" t="s">
        <v>10</v>
      </c>
      <c r="BD40" t="s">
        <v>766</v>
      </c>
      <c r="BE40" t="s">
        <v>946</v>
      </c>
      <c r="BF40" t="s">
        <v>90</v>
      </c>
      <c r="BG40" t="s">
        <v>782</v>
      </c>
      <c r="BH40" s="471">
        <v>4.5987376014427414E-2</v>
      </c>
      <c r="BI40" s="471" t="s">
        <v>227</v>
      </c>
      <c r="BL40" s="90" t="str">
        <f>IFERROR(INDEX(Table_TCZs_RP2[TCZ_Name], MATCH(0, INDEX(COUNTIF($BL$5:BL39, Table_TCZs_RP2[TCZ_Name]), 0, 0), 0)), "")</f>
        <v/>
      </c>
      <c r="BM40" s="90" t="e">
        <f>INDEX(Table_TCZs_RP2[TCZ_Code],MATCH(BL40,Table_TCZs_RP2[TCZ_Name],0))</f>
        <v>#N/A</v>
      </c>
      <c r="BN40" t="e">
        <f>INDEX(Table_TCZs_RP2[Country_Name],MATCH(BL40,Table_TCZs_RP2[TCZ_Name],0))</f>
        <v>#N/A</v>
      </c>
      <c r="BZ40" s="438" t="s">
        <v>51</v>
      </c>
      <c r="CA40" s="439">
        <v>2E-3</v>
      </c>
      <c r="CC40" t="s">
        <v>216</v>
      </c>
      <c r="CD40" t="s">
        <v>440</v>
      </c>
      <c r="CE40" t="s">
        <v>894</v>
      </c>
      <c r="CF40" t="s">
        <v>1715</v>
      </c>
      <c r="CG40" t="str">
        <f>Table_Safety_Targets[[#This Row],[ANSP]]&amp;Table_Safety_Targets[[#This Row],[Safety Area]]</f>
        <v>MATSSafety policy and objectives</v>
      </c>
    </row>
    <row r="41" spans="2:85">
      <c r="R41">
        <v>37</v>
      </c>
      <c r="S41" t="s">
        <v>45</v>
      </c>
      <c r="T41" t="s">
        <v>1333</v>
      </c>
      <c r="U41" t="s">
        <v>589</v>
      </c>
      <c r="V41" t="s">
        <v>1334</v>
      </c>
      <c r="Y41" t="s">
        <v>189</v>
      </c>
      <c r="Z41" t="s">
        <v>606</v>
      </c>
      <c r="AA41" t="s">
        <v>47</v>
      </c>
      <c r="AB41">
        <v>109433</v>
      </c>
      <c r="AC41">
        <v>115790</v>
      </c>
      <c r="AD41">
        <v>127865</v>
      </c>
      <c r="AE41" s="72">
        <v>117696</v>
      </c>
      <c r="AS41" t="s">
        <v>15</v>
      </c>
      <c r="AW41">
        <v>0.04</v>
      </c>
      <c r="AX41">
        <v>0.08</v>
      </c>
      <c r="AY41">
        <v>0.09</v>
      </c>
      <c r="AZ41">
        <v>0.08</v>
      </c>
      <c r="BC41" t="s">
        <v>10</v>
      </c>
      <c r="BD41" t="s">
        <v>766</v>
      </c>
      <c r="BE41" t="s">
        <v>946</v>
      </c>
      <c r="BF41" t="s">
        <v>87</v>
      </c>
      <c r="BG41" t="s">
        <v>783</v>
      </c>
      <c r="BH41" s="471">
        <v>1.4549195660306771</v>
      </c>
      <c r="BI41" s="471" t="s">
        <v>227</v>
      </c>
      <c r="BL41" s="90" t="str">
        <f>IFERROR(INDEX(Table_TCZs_RP2[TCZ_Name], MATCH(0, INDEX(COUNTIF($BL$5:BL40, Table_TCZs_RP2[TCZ_Name]), 0, 0), 0)), "")</f>
        <v/>
      </c>
      <c r="BM41" s="90" t="e">
        <f>INDEX(Table_TCZs_RP2[TCZ_Code],MATCH(BL41,Table_TCZs_RP2[TCZ_Name],0))</f>
        <v>#N/A</v>
      </c>
      <c r="BN41" t="e">
        <f>INDEX(Table_TCZs_RP2[Country_Name],MATCH(BL41,Table_TCZs_RP2[TCZ_Name],0))</f>
        <v>#N/A</v>
      </c>
      <c r="BZ41" s="438" t="s">
        <v>10</v>
      </c>
      <c r="CA41" s="439">
        <v>2.5000000000000001E-3</v>
      </c>
      <c r="CC41" t="s">
        <v>216</v>
      </c>
      <c r="CD41" t="s">
        <v>440</v>
      </c>
      <c r="CE41" t="s">
        <v>895</v>
      </c>
      <c r="CF41" t="s">
        <v>1715</v>
      </c>
      <c r="CG41" t="str">
        <f>Table_Safety_Targets[[#This Row],[ANSP]]&amp;Table_Safety_Targets[[#This Row],[Safety Area]]</f>
        <v>MATSSafety risk management</v>
      </c>
    </row>
    <row r="42" spans="2:85">
      <c r="R42">
        <v>38</v>
      </c>
      <c r="S42" t="s">
        <v>219</v>
      </c>
      <c r="T42" t="s">
        <v>1335</v>
      </c>
      <c r="U42" t="s">
        <v>1336</v>
      </c>
      <c r="V42" t="s">
        <v>1337</v>
      </c>
      <c r="Y42" t="s">
        <v>146</v>
      </c>
      <c r="Z42" t="s">
        <v>609</v>
      </c>
      <c r="AA42" t="s">
        <v>215</v>
      </c>
      <c r="AB42">
        <v>117101</v>
      </c>
      <c r="AC42">
        <v>116066</v>
      </c>
      <c r="AD42">
        <v>113790</v>
      </c>
      <c r="AE42" s="72">
        <v>115652.33333333333</v>
      </c>
      <c r="AS42" t="s">
        <v>1468</v>
      </c>
      <c r="AW42">
        <v>0.15</v>
      </c>
      <c r="AX42">
        <v>0.22</v>
      </c>
      <c r="AY42">
        <v>0.22</v>
      </c>
      <c r="AZ42">
        <v>0.22</v>
      </c>
      <c r="BC42" t="s">
        <v>10</v>
      </c>
      <c r="BD42" t="s">
        <v>766</v>
      </c>
      <c r="BE42" t="s">
        <v>946</v>
      </c>
      <c r="BF42" t="s">
        <v>92</v>
      </c>
      <c r="BG42" t="s">
        <v>784</v>
      </c>
      <c r="BH42" s="471">
        <v>0.97249544626593809</v>
      </c>
      <c r="BI42" s="471" t="s">
        <v>227</v>
      </c>
      <c r="BL42" s="90" t="str">
        <f>IFERROR(INDEX(Table_TCZs_RP2[TCZ_Name], MATCH(0, INDEX(COUNTIF($BL$5:BL41, Table_TCZs_RP2[TCZ_Name]), 0, 0), 0)), "")</f>
        <v/>
      </c>
      <c r="BM42" s="90" t="e">
        <f>INDEX(Table_TCZs_RP2[TCZ_Code],MATCH(BL42,Table_TCZs_RP2[TCZ_Name],0))</f>
        <v>#N/A</v>
      </c>
      <c r="BN42" t="e">
        <f>INDEX(Table_TCZs_RP2[Country_Name],MATCH(BL42,Table_TCZs_RP2[TCZ_Name],0))</f>
        <v>#N/A</v>
      </c>
      <c r="BZ42" s="438" t="s">
        <v>6</v>
      </c>
      <c r="CA42" s="439">
        <v>2.7000000000000001E-3</v>
      </c>
      <c r="CC42" t="s">
        <v>216</v>
      </c>
      <c r="CD42" t="s">
        <v>440</v>
      </c>
      <c r="CE42" t="s">
        <v>896</v>
      </c>
      <c r="CF42" t="s">
        <v>1715</v>
      </c>
      <c r="CG42" t="str">
        <f>Table_Safety_Targets[[#This Row],[ANSP]]&amp;Table_Safety_Targets[[#This Row],[Safety Area]]</f>
        <v>MATSSafety assurance</v>
      </c>
    </row>
    <row r="43" spans="2:85">
      <c r="R43">
        <v>39</v>
      </c>
      <c r="S43" t="s">
        <v>6</v>
      </c>
      <c r="T43" t="s">
        <v>1338</v>
      </c>
      <c r="U43" t="s">
        <v>883</v>
      </c>
      <c r="V43" t="s">
        <v>1339</v>
      </c>
      <c r="Y43" t="s">
        <v>184</v>
      </c>
      <c r="Z43" t="s">
        <v>607</v>
      </c>
      <c r="AA43" t="s">
        <v>219</v>
      </c>
      <c r="AB43">
        <v>107710</v>
      </c>
      <c r="AC43">
        <v>116254</v>
      </c>
      <c r="AD43">
        <v>122586</v>
      </c>
      <c r="AE43" s="72">
        <v>115516.66666666667</v>
      </c>
      <c r="AS43" t="s">
        <v>1469</v>
      </c>
      <c r="AW43">
        <v>0.15</v>
      </c>
      <c r="AX43">
        <v>0.27</v>
      </c>
      <c r="AY43">
        <v>0.26</v>
      </c>
      <c r="AZ43">
        <v>0.27</v>
      </c>
      <c r="BC43" t="s">
        <v>10</v>
      </c>
      <c r="BD43" t="s">
        <v>766</v>
      </c>
      <c r="BE43" t="s">
        <v>946</v>
      </c>
      <c r="BF43" t="s">
        <v>91</v>
      </c>
      <c r="BG43" t="s">
        <v>785</v>
      </c>
      <c r="BH43" s="471">
        <v>6.3336063336063342E-2</v>
      </c>
      <c r="BI43" s="471" t="s">
        <v>227</v>
      </c>
      <c r="BZ43" s="438" t="s">
        <v>210</v>
      </c>
      <c r="CA43" s="439">
        <v>2.8E-3</v>
      </c>
      <c r="CC43" t="s">
        <v>216</v>
      </c>
      <c r="CD43" t="s">
        <v>440</v>
      </c>
      <c r="CE43" t="s">
        <v>897</v>
      </c>
      <c r="CF43" t="s">
        <v>1715</v>
      </c>
      <c r="CG43" t="str">
        <f>Table_Safety_Targets[[#This Row],[ANSP]]&amp;Table_Safety_Targets[[#This Row],[Safety Area]]</f>
        <v>MATSSafety promotion</v>
      </c>
    </row>
    <row r="44" spans="2:85">
      <c r="R44">
        <v>40</v>
      </c>
      <c r="S44" t="s">
        <v>7</v>
      </c>
      <c r="T44" t="s">
        <v>1340</v>
      </c>
      <c r="U44" t="s">
        <v>1341</v>
      </c>
      <c r="V44" t="s">
        <v>1342</v>
      </c>
      <c r="Y44" t="s">
        <v>196</v>
      </c>
      <c r="Z44" t="s">
        <v>611</v>
      </c>
      <c r="AA44" t="s">
        <v>51</v>
      </c>
      <c r="AB44">
        <v>110708</v>
      </c>
      <c r="AC44">
        <v>119143</v>
      </c>
      <c r="AD44">
        <v>110076</v>
      </c>
      <c r="AE44" s="72">
        <v>113309</v>
      </c>
      <c r="BC44" t="s">
        <v>10</v>
      </c>
      <c r="BD44" t="s">
        <v>766</v>
      </c>
      <c r="BE44" t="s">
        <v>946</v>
      </c>
      <c r="BF44" t="s">
        <v>96</v>
      </c>
      <c r="BG44" t="s">
        <v>786</v>
      </c>
      <c r="BH44" s="471">
        <v>0.18479505381268604</v>
      </c>
      <c r="BI44" s="471" t="s">
        <v>227</v>
      </c>
      <c r="BZ44" s="438" t="s">
        <v>1612</v>
      </c>
      <c r="CA44" s="439">
        <v>1.3299999999999999E-2</v>
      </c>
      <c r="CC44" t="s">
        <v>216</v>
      </c>
      <c r="CD44" t="s">
        <v>440</v>
      </c>
      <c r="CE44" t="s">
        <v>898</v>
      </c>
      <c r="CF44" t="s">
        <v>1715</v>
      </c>
      <c r="CG44" t="str">
        <f>Table_Safety_Targets[[#This Row],[ANSP]]&amp;Table_Safety_Targets[[#This Row],[Safety Area]]</f>
        <v>MATSSafety culture</v>
      </c>
    </row>
    <row r="45" spans="2:85">
      <c r="R45">
        <v>41</v>
      </c>
      <c r="S45" t="s">
        <v>47</v>
      </c>
      <c r="T45" t="s">
        <v>1343</v>
      </c>
      <c r="U45" t="s">
        <v>577</v>
      </c>
      <c r="V45" t="s">
        <v>1344</v>
      </c>
      <c r="Y45" t="s">
        <v>72</v>
      </c>
      <c r="Z45" t="s">
        <v>610</v>
      </c>
      <c r="AA45" t="s">
        <v>10</v>
      </c>
      <c r="AB45">
        <v>110638</v>
      </c>
      <c r="AC45">
        <v>112331</v>
      </c>
      <c r="AD45">
        <v>113434</v>
      </c>
      <c r="AE45" s="72">
        <v>112134.33333333333</v>
      </c>
      <c r="BC45" t="s">
        <v>10</v>
      </c>
      <c r="BD45" t="s">
        <v>766</v>
      </c>
      <c r="BE45" t="s">
        <v>946</v>
      </c>
      <c r="BF45" t="s">
        <v>95</v>
      </c>
      <c r="BG45" t="s">
        <v>787</v>
      </c>
      <c r="BH45" s="471">
        <v>7.8698845750262321E-3</v>
      </c>
      <c r="BI45" s="471" t="s">
        <v>227</v>
      </c>
      <c r="CC45" t="s">
        <v>0</v>
      </c>
      <c r="CD45" t="s">
        <v>436</v>
      </c>
      <c r="CE45" t="s">
        <v>894</v>
      </c>
      <c r="CF45" t="s">
        <v>1715</v>
      </c>
      <c r="CG45" t="str">
        <f>Table_Safety_Targets[[#This Row],[ANSP]]&amp;Table_Safety_Targets[[#This Row],[Safety Area]]</f>
        <v>LFVSafety policy and objectives</v>
      </c>
    </row>
    <row r="46" spans="2:85">
      <c r="R46">
        <v>42</v>
      </c>
      <c r="S46" t="s">
        <v>47</v>
      </c>
      <c r="T46" t="s">
        <v>1345</v>
      </c>
      <c r="U46" t="s">
        <v>1346</v>
      </c>
      <c r="V46" t="s">
        <v>1347</v>
      </c>
      <c r="Y46" t="s">
        <v>142</v>
      </c>
      <c r="Z46" t="s">
        <v>608</v>
      </c>
      <c r="AA46" t="s">
        <v>5</v>
      </c>
      <c r="AB46">
        <v>95743</v>
      </c>
      <c r="AC46">
        <v>102266</v>
      </c>
      <c r="AD46">
        <v>114474</v>
      </c>
      <c r="AE46" s="72">
        <v>104161</v>
      </c>
      <c r="BC46" t="s">
        <v>10</v>
      </c>
      <c r="BD46" t="s">
        <v>766</v>
      </c>
      <c r="BE46" t="s">
        <v>946</v>
      </c>
      <c r="BF46" t="s">
        <v>97</v>
      </c>
      <c r="BG46" t="s">
        <v>788</v>
      </c>
      <c r="BH46" s="471">
        <v>7.2852081488042522E-2</v>
      </c>
      <c r="BI46" s="471" t="s">
        <v>227</v>
      </c>
      <c r="CC46" t="s">
        <v>0</v>
      </c>
      <c r="CD46" t="s">
        <v>436</v>
      </c>
      <c r="CE46" t="s">
        <v>895</v>
      </c>
      <c r="CF46" t="s">
        <v>1718</v>
      </c>
      <c r="CG46" t="str">
        <f>Table_Safety_Targets[[#This Row],[ANSP]]&amp;Table_Safety_Targets[[#This Row],[Safety Area]]</f>
        <v>LFVSafety risk management</v>
      </c>
    </row>
    <row r="47" spans="2:85">
      <c r="R47">
        <v>43</v>
      </c>
      <c r="S47" t="s">
        <v>47</v>
      </c>
      <c r="T47" t="s">
        <v>1348</v>
      </c>
      <c r="U47" t="s">
        <v>1349</v>
      </c>
      <c r="V47" t="s">
        <v>1350</v>
      </c>
      <c r="Y47" t="s">
        <v>133</v>
      </c>
      <c r="Z47" t="s">
        <v>612</v>
      </c>
      <c r="AA47" t="s">
        <v>11</v>
      </c>
      <c r="AB47">
        <v>95088</v>
      </c>
      <c r="AC47">
        <v>100122</v>
      </c>
      <c r="AD47">
        <v>101054</v>
      </c>
      <c r="AE47" s="72">
        <v>98754.666666666672</v>
      </c>
      <c r="BC47" t="s">
        <v>10</v>
      </c>
      <c r="BD47" t="s">
        <v>766</v>
      </c>
      <c r="BE47" t="s">
        <v>946</v>
      </c>
      <c r="BF47" t="s">
        <v>94</v>
      </c>
      <c r="BG47" t="s">
        <v>789</v>
      </c>
      <c r="BH47" s="471">
        <v>0.19328641039523553</v>
      </c>
      <c r="BI47" s="471" t="s">
        <v>227</v>
      </c>
      <c r="CC47" t="s">
        <v>0</v>
      </c>
      <c r="CD47" t="s">
        <v>436</v>
      </c>
      <c r="CE47" t="s">
        <v>896</v>
      </c>
      <c r="CF47" t="s">
        <v>1715</v>
      </c>
      <c r="CG47" t="str">
        <f>Table_Safety_Targets[[#This Row],[ANSP]]&amp;Table_Safety_Targets[[#This Row],[Safety Area]]</f>
        <v>LFVSafety assurance</v>
      </c>
    </row>
    <row r="48" spans="2:85">
      <c r="R48">
        <v>44</v>
      </c>
      <c r="S48" t="s">
        <v>47</v>
      </c>
      <c r="T48" t="s">
        <v>1351</v>
      </c>
      <c r="U48" t="s">
        <v>1352</v>
      </c>
      <c r="V48" t="s">
        <v>1353</v>
      </c>
      <c r="Y48" t="s">
        <v>73</v>
      </c>
      <c r="Z48" t="s">
        <v>613</v>
      </c>
      <c r="AA48" t="s">
        <v>10</v>
      </c>
      <c r="AB48">
        <v>96281</v>
      </c>
      <c r="AC48">
        <v>97473</v>
      </c>
      <c r="AD48">
        <v>97770</v>
      </c>
      <c r="AE48" s="72">
        <v>97174.666666666672</v>
      </c>
      <c r="BC48" t="s">
        <v>10</v>
      </c>
      <c r="BD48" t="s">
        <v>766</v>
      </c>
      <c r="BE48" t="s">
        <v>946</v>
      </c>
      <c r="BF48" t="s">
        <v>98</v>
      </c>
      <c r="BG48" t="s">
        <v>790</v>
      </c>
      <c r="BH48" s="471">
        <v>0</v>
      </c>
      <c r="BI48" s="471" t="s">
        <v>227</v>
      </c>
      <c r="CC48" t="s">
        <v>0</v>
      </c>
      <c r="CD48" t="s">
        <v>436</v>
      </c>
      <c r="CE48" t="s">
        <v>897</v>
      </c>
      <c r="CF48" t="s">
        <v>1715</v>
      </c>
      <c r="CG48" t="str">
        <f>Table_Safety_Targets[[#This Row],[ANSP]]&amp;Table_Safety_Targets[[#This Row],[Safety Area]]</f>
        <v>LFVSafety promotion</v>
      </c>
    </row>
    <row r="49" spans="17:85">
      <c r="R49">
        <v>45</v>
      </c>
      <c r="S49" t="s">
        <v>47</v>
      </c>
      <c r="T49" t="s">
        <v>1354</v>
      </c>
      <c r="U49" t="s">
        <v>1355</v>
      </c>
      <c r="V49" t="s">
        <v>1356</v>
      </c>
      <c r="Y49" t="s">
        <v>74</v>
      </c>
      <c r="Z49" t="s">
        <v>614</v>
      </c>
      <c r="AA49" t="s">
        <v>10</v>
      </c>
      <c r="AB49">
        <v>90977</v>
      </c>
      <c r="AC49">
        <v>98991</v>
      </c>
      <c r="AD49">
        <v>97154</v>
      </c>
      <c r="AE49" s="72">
        <v>95707.333333333328</v>
      </c>
      <c r="BC49" t="s">
        <v>10</v>
      </c>
      <c r="BD49" t="s">
        <v>766</v>
      </c>
      <c r="BE49" t="s">
        <v>946</v>
      </c>
      <c r="BF49" t="s">
        <v>93</v>
      </c>
      <c r="BG49" t="s">
        <v>791</v>
      </c>
      <c r="BH49" s="471">
        <v>0</v>
      </c>
      <c r="BI49" s="471" t="s">
        <v>227</v>
      </c>
      <c r="CC49" t="s">
        <v>0</v>
      </c>
      <c r="CD49" t="s">
        <v>436</v>
      </c>
      <c r="CE49" t="s">
        <v>898</v>
      </c>
      <c r="CF49" t="s">
        <v>1715</v>
      </c>
      <c r="CG49" t="str">
        <f>Table_Safety_Targets[[#This Row],[ANSP]]&amp;Table_Safety_Targets[[#This Row],[Safety Area]]</f>
        <v>LFVSafety culture</v>
      </c>
    </row>
    <row r="50" spans="17:85">
      <c r="R50">
        <v>46</v>
      </c>
      <c r="S50" t="s">
        <v>0</v>
      </c>
      <c r="T50" t="s">
        <v>1357</v>
      </c>
      <c r="U50" t="s">
        <v>1358</v>
      </c>
      <c r="V50" t="s">
        <v>1359</v>
      </c>
      <c r="Y50" t="s">
        <v>615</v>
      </c>
      <c r="Z50" t="s">
        <v>616</v>
      </c>
      <c r="AA50" t="s">
        <v>47</v>
      </c>
      <c r="AB50">
        <v>86830</v>
      </c>
      <c r="AC50">
        <v>95133</v>
      </c>
      <c r="AD50">
        <v>96561</v>
      </c>
      <c r="AE50" s="72">
        <v>92841.333333333328</v>
      </c>
      <c r="BC50" t="s">
        <v>10</v>
      </c>
      <c r="BD50" t="s">
        <v>766</v>
      </c>
      <c r="BE50" t="s">
        <v>946</v>
      </c>
      <c r="BF50" t="s">
        <v>99</v>
      </c>
      <c r="BG50" t="s">
        <v>792</v>
      </c>
      <c r="BH50" s="471">
        <v>1.6717095310136156</v>
      </c>
      <c r="BI50" s="471" t="s">
        <v>227</v>
      </c>
      <c r="CC50" t="s">
        <v>218</v>
      </c>
      <c r="CD50" t="s">
        <v>427</v>
      </c>
      <c r="CE50" t="s">
        <v>894</v>
      </c>
      <c r="CF50" t="s">
        <v>1715</v>
      </c>
      <c r="CG50" t="str">
        <f>Table_Safety_Targets[[#This Row],[ANSP]]&amp;Table_Safety_Targets[[#This Row],[Safety Area]]</f>
        <v>BULATSASafety policy and objectives</v>
      </c>
    </row>
    <row r="51" spans="17:85">
      <c r="R51">
        <v>47</v>
      </c>
      <c r="S51" t="s">
        <v>0</v>
      </c>
      <c r="T51" t="s">
        <v>1360</v>
      </c>
      <c r="U51" t="s">
        <v>1361</v>
      </c>
      <c r="V51" t="s">
        <v>1362</v>
      </c>
      <c r="Y51" t="s">
        <v>197</v>
      </c>
      <c r="Z51" t="s">
        <v>619</v>
      </c>
      <c r="AA51" t="s">
        <v>51</v>
      </c>
      <c r="AB51">
        <v>92504</v>
      </c>
      <c r="AC51">
        <v>95151</v>
      </c>
      <c r="AD51">
        <v>90623</v>
      </c>
      <c r="AE51" s="72">
        <v>92759.333333333328</v>
      </c>
      <c r="BC51" t="s">
        <v>10</v>
      </c>
      <c r="BD51" t="s">
        <v>766</v>
      </c>
      <c r="BE51" t="s">
        <v>946</v>
      </c>
      <c r="BF51" t="s">
        <v>106</v>
      </c>
      <c r="BG51" t="s">
        <v>793</v>
      </c>
      <c r="BH51" s="471">
        <v>0</v>
      </c>
      <c r="BI51" s="471" t="s">
        <v>227</v>
      </c>
      <c r="CC51" t="s">
        <v>218</v>
      </c>
      <c r="CD51" t="s">
        <v>427</v>
      </c>
      <c r="CE51" t="s">
        <v>895</v>
      </c>
      <c r="CF51" t="s">
        <v>1715</v>
      </c>
      <c r="CG51" t="str">
        <f>Table_Safety_Targets[[#This Row],[ANSP]]&amp;Table_Safety_Targets[[#This Row],[Safety Area]]</f>
        <v>BULATSASafety risk management</v>
      </c>
    </row>
    <row r="52" spans="17:85">
      <c r="R52">
        <v>48</v>
      </c>
      <c r="S52" t="s">
        <v>14</v>
      </c>
      <c r="T52" t="s">
        <v>1363</v>
      </c>
      <c r="U52" t="s">
        <v>597</v>
      </c>
      <c r="V52" t="s">
        <v>1364</v>
      </c>
      <c r="Y52" t="s">
        <v>147</v>
      </c>
      <c r="Z52" t="s">
        <v>617</v>
      </c>
      <c r="AA52" t="s">
        <v>215</v>
      </c>
      <c r="AB52">
        <v>89969</v>
      </c>
      <c r="AC52">
        <v>92147</v>
      </c>
      <c r="AD52">
        <v>95250</v>
      </c>
      <c r="AE52" s="72">
        <v>92455.333333333328</v>
      </c>
      <c r="BC52" t="s">
        <v>10</v>
      </c>
      <c r="BD52" t="s">
        <v>766</v>
      </c>
      <c r="BE52" t="s">
        <v>946</v>
      </c>
      <c r="BF52" t="s">
        <v>100</v>
      </c>
      <c r="BG52" t="s">
        <v>794</v>
      </c>
      <c r="BH52" s="471">
        <v>0</v>
      </c>
      <c r="BI52" s="471" t="s">
        <v>227</v>
      </c>
      <c r="CC52" t="s">
        <v>218</v>
      </c>
      <c r="CD52" t="s">
        <v>427</v>
      </c>
      <c r="CE52" t="s">
        <v>896</v>
      </c>
      <c r="CF52" t="s">
        <v>1715</v>
      </c>
      <c r="CG52" t="str">
        <f>Table_Safety_Targets[[#This Row],[ANSP]]&amp;Table_Safety_Targets[[#This Row],[Safety Area]]</f>
        <v>BULATSASafety assurance</v>
      </c>
    </row>
    <row r="53" spans="17:85">
      <c r="R53">
        <v>49</v>
      </c>
      <c r="S53" t="s">
        <v>14</v>
      </c>
      <c r="T53" t="s">
        <v>1365</v>
      </c>
      <c r="U53" t="s">
        <v>580</v>
      </c>
      <c r="V53" t="s">
        <v>1366</v>
      </c>
      <c r="Y53" t="s">
        <v>176</v>
      </c>
      <c r="Z53" t="s">
        <v>618</v>
      </c>
      <c r="AA53" t="s">
        <v>45</v>
      </c>
      <c r="AB53">
        <v>78720</v>
      </c>
      <c r="AC53">
        <v>86718</v>
      </c>
      <c r="AD53">
        <v>93720</v>
      </c>
      <c r="AE53" s="72">
        <v>86386</v>
      </c>
      <c r="BC53" t="s">
        <v>10</v>
      </c>
      <c r="BD53" t="s">
        <v>766</v>
      </c>
      <c r="BE53" t="s">
        <v>946</v>
      </c>
      <c r="BF53" t="s">
        <v>101</v>
      </c>
      <c r="BG53" t="s">
        <v>795</v>
      </c>
      <c r="BH53" s="471">
        <v>0.50148257968865828</v>
      </c>
      <c r="BI53" s="471" t="s">
        <v>227</v>
      </c>
      <c r="CC53" t="s">
        <v>218</v>
      </c>
      <c r="CD53" t="s">
        <v>427</v>
      </c>
      <c r="CE53" t="s">
        <v>897</v>
      </c>
      <c r="CF53" t="s">
        <v>1715</v>
      </c>
      <c r="CG53" t="str">
        <f>Table_Safety_Targets[[#This Row],[ANSP]]&amp;Table_Safety_Targets[[#This Row],[Safety Area]]</f>
        <v>BULATSASafety promotion</v>
      </c>
    </row>
    <row r="54" spans="17:85">
      <c r="R54">
        <v>50</v>
      </c>
      <c r="S54" t="s">
        <v>51</v>
      </c>
      <c r="T54" t="s">
        <v>1367</v>
      </c>
      <c r="U54" t="s">
        <v>1368</v>
      </c>
      <c r="V54" t="s">
        <v>1369</v>
      </c>
      <c r="Y54" t="s">
        <v>161</v>
      </c>
      <c r="Z54" t="s">
        <v>621</v>
      </c>
      <c r="AA54" t="s">
        <v>42</v>
      </c>
      <c r="AB54">
        <v>87144</v>
      </c>
      <c r="AC54">
        <v>83653</v>
      </c>
      <c r="AD54">
        <v>85443</v>
      </c>
      <c r="AE54" s="72">
        <v>85413.333333333328</v>
      </c>
      <c r="BC54" t="s">
        <v>10</v>
      </c>
      <c r="BD54" t="s">
        <v>766</v>
      </c>
      <c r="BE54" t="s">
        <v>946</v>
      </c>
      <c r="BF54" t="s">
        <v>105</v>
      </c>
      <c r="BG54" t="s">
        <v>796</v>
      </c>
      <c r="BH54" s="471">
        <v>0</v>
      </c>
      <c r="BI54" s="471" t="s">
        <v>227</v>
      </c>
      <c r="CC54" t="s">
        <v>218</v>
      </c>
      <c r="CD54" t="s">
        <v>427</v>
      </c>
      <c r="CE54" t="s">
        <v>898</v>
      </c>
      <c r="CF54" t="s">
        <v>1715</v>
      </c>
      <c r="CG54" t="str">
        <f>Table_Safety_Targets[[#This Row],[ANSP]]&amp;Table_Safety_Targets[[#This Row],[Safety Area]]</f>
        <v>BULATSASafety culture</v>
      </c>
    </row>
    <row r="55" spans="17:85">
      <c r="R55">
        <v>51</v>
      </c>
      <c r="S55" t="s">
        <v>51</v>
      </c>
      <c r="T55" t="s">
        <v>1370</v>
      </c>
      <c r="U55" t="s">
        <v>1371</v>
      </c>
      <c r="V55" t="s">
        <v>1372</v>
      </c>
      <c r="Y55" t="s">
        <v>148</v>
      </c>
      <c r="Z55" t="s">
        <v>620</v>
      </c>
      <c r="AA55" t="s">
        <v>215</v>
      </c>
      <c r="AB55">
        <v>79638</v>
      </c>
      <c r="AC55">
        <v>85849</v>
      </c>
      <c r="AD55">
        <v>89376</v>
      </c>
      <c r="AE55" s="72">
        <v>84954.333333333328</v>
      </c>
      <c r="BC55" t="s">
        <v>10</v>
      </c>
      <c r="BD55" t="s">
        <v>766</v>
      </c>
      <c r="BE55" t="s">
        <v>946</v>
      </c>
      <c r="BF55" t="s">
        <v>103</v>
      </c>
      <c r="BG55" t="s">
        <v>797</v>
      </c>
      <c r="BH55" s="471">
        <v>7.0035460992907805E-2</v>
      </c>
      <c r="BI55" s="471" t="s">
        <v>227</v>
      </c>
      <c r="CC55" t="s">
        <v>4</v>
      </c>
      <c r="CD55" t="s">
        <v>428</v>
      </c>
      <c r="CE55" t="s">
        <v>894</v>
      </c>
      <c r="CF55" t="s">
        <v>1717</v>
      </c>
      <c r="CG55" t="str">
        <f>Table_Safety_Targets[[#This Row],[ANSP]]&amp;Table_Safety_Targets[[#This Row],[Safety Area]]</f>
        <v>Croatia ControlSafety policy and objectives</v>
      </c>
    </row>
    <row r="56" spans="17:85">
      <c r="R56">
        <v>52</v>
      </c>
      <c r="S56" t="s">
        <v>51</v>
      </c>
      <c r="T56" t="s">
        <v>1373</v>
      </c>
      <c r="U56" t="s">
        <v>1374</v>
      </c>
      <c r="V56" t="s">
        <v>1375</v>
      </c>
      <c r="Y56" t="s">
        <v>206</v>
      </c>
      <c r="Z56" t="s">
        <v>624</v>
      </c>
      <c r="AA56" t="s">
        <v>51</v>
      </c>
      <c r="AB56">
        <v>85007</v>
      </c>
      <c r="AC56">
        <v>80382</v>
      </c>
      <c r="AD56">
        <v>80762</v>
      </c>
      <c r="AE56" s="72">
        <v>82050.333333333328</v>
      </c>
      <c r="BC56" t="s">
        <v>10</v>
      </c>
      <c r="BD56" t="s">
        <v>766</v>
      </c>
      <c r="BE56" t="s">
        <v>946</v>
      </c>
      <c r="BF56" t="s">
        <v>102</v>
      </c>
      <c r="BG56" t="s">
        <v>798</v>
      </c>
      <c r="BH56" s="471">
        <v>0.22912127814088598</v>
      </c>
      <c r="BI56" s="471" t="s">
        <v>227</v>
      </c>
      <c r="CC56" t="s">
        <v>4</v>
      </c>
      <c r="CD56" t="s">
        <v>428</v>
      </c>
      <c r="CE56" t="s">
        <v>895</v>
      </c>
      <c r="CF56" t="s">
        <v>1717</v>
      </c>
      <c r="CG56" t="str">
        <f>Table_Safety_Targets[[#This Row],[ANSP]]&amp;Table_Safety_Targets[[#This Row],[Safety Area]]</f>
        <v>Croatia ControlSafety risk management</v>
      </c>
    </row>
    <row r="57" spans="17:85">
      <c r="Q57" t="s">
        <v>1135</v>
      </c>
      <c r="R57">
        <v>53</v>
      </c>
      <c r="S57" t="s">
        <v>12</v>
      </c>
      <c r="T57" t="s">
        <v>1379</v>
      </c>
      <c r="U57" t="s">
        <v>1380</v>
      </c>
      <c r="V57" t="s">
        <v>1380</v>
      </c>
      <c r="Y57" t="s">
        <v>75</v>
      </c>
      <c r="Z57" t="s">
        <v>623</v>
      </c>
      <c r="AA57" t="s">
        <v>10</v>
      </c>
      <c r="AB57">
        <v>77371</v>
      </c>
      <c r="AC57">
        <v>78800</v>
      </c>
      <c r="AD57">
        <v>81866</v>
      </c>
      <c r="AE57" s="72">
        <v>79345.666666666672</v>
      </c>
      <c r="BC57" t="s">
        <v>10</v>
      </c>
      <c r="BD57" t="s">
        <v>766</v>
      </c>
      <c r="BE57" t="s">
        <v>946</v>
      </c>
      <c r="BF57" t="s">
        <v>104</v>
      </c>
      <c r="BG57" t="s">
        <v>799</v>
      </c>
      <c r="BH57" s="471">
        <v>0</v>
      </c>
      <c r="BI57" s="471" t="s">
        <v>227</v>
      </c>
      <c r="CC57" t="s">
        <v>4</v>
      </c>
      <c r="CD57" t="s">
        <v>428</v>
      </c>
      <c r="CE57" t="s">
        <v>896</v>
      </c>
      <c r="CF57" t="s">
        <v>1717</v>
      </c>
      <c r="CG57" t="str">
        <f>Table_Safety_Targets[[#This Row],[ANSP]]&amp;Table_Safety_Targets[[#This Row],[Safety Area]]</f>
        <v>Croatia ControlSafety assurance</v>
      </c>
    </row>
    <row r="58" spans="17:85">
      <c r="Y58" t="s">
        <v>151</v>
      </c>
      <c r="Z58" t="s">
        <v>622</v>
      </c>
      <c r="AA58" t="s">
        <v>41</v>
      </c>
      <c r="AB58">
        <v>67775</v>
      </c>
      <c r="AC58">
        <v>74482</v>
      </c>
      <c r="AD58">
        <v>83108</v>
      </c>
      <c r="AE58" s="72">
        <v>75121.666666666672</v>
      </c>
      <c r="BC58" t="s">
        <v>10</v>
      </c>
      <c r="BD58" t="s">
        <v>766</v>
      </c>
      <c r="BE58" t="s">
        <v>946</v>
      </c>
      <c r="BF58" t="s">
        <v>107</v>
      </c>
      <c r="BG58" t="s">
        <v>800</v>
      </c>
      <c r="BH58" s="471">
        <v>0</v>
      </c>
      <c r="BI58" s="471" t="s">
        <v>227</v>
      </c>
      <c r="CC58" t="s">
        <v>4</v>
      </c>
      <c r="CD58" t="s">
        <v>428</v>
      </c>
      <c r="CE58" t="s">
        <v>897</v>
      </c>
      <c r="CF58" t="s">
        <v>1717</v>
      </c>
      <c r="CG58" t="str">
        <f>Table_Safety_Targets[[#This Row],[ANSP]]&amp;Table_Safety_Targets[[#This Row],[Safety Area]]</f>
        <v>Croatia ControlSafety promotion</v>
      </c>
    </row>
    <row r="59" spans="17:85">
      <c r="Y59" t="s">
        <v>626</v>
      </c>
      <c r="Z59" t="s">
        <v>627</v>
      </c>
      <c r="AA59" t="s">
        <v>47</v>
      </c>
      <c r="AB59">
        <v>69368</v>
      </c>
      <c r="AC59">
        <v>73336</v>
      </c>
      <c r="AD59">
        <v>75017</v>
      </c>
      <c r="AE59" s="72">
        <v>72573.666666666672</v>
      </c>
      <c r="BC59" t="s">
        <v>10</v>
      </c>
      <c r="BD59" t="s">
        <v>766</v>
      </c>
      <c r="BE59" t="s">
        <v>946</v>
      </c>
      <c r="BF59" t="s">
        <v>110</v>
      </c>
      <c r="BG59" t="s">
        <v>801</v>
      </c>
      <c r="BH59" s="471">
        <v>0</v>
      </c>
      <c r="BI59" s="471" t="s">
        <v>227</v>
      </c>
      <c r="CC59" t="s">
        <v>4</v>
      </c>
      <c r="CD59" t="s">
        <v>428</v>
      </c>
      <c r="CE59" t="s">
        <v>898</v>
      </c>
      <c r="CF59" t="s">
        <v>1717</v>
      </c>
      <c r="CG59" t="str">
        <f>Table_Safety_Targets[[#This Row],[ANSP]]&amp;Table_Safety_Targets[[#This Row],[Safety Area]]</f>
        <v>Croatia ControlSafety culture</v>
      </c>
    </row>
    <row r="60" spans="17:85">
      <c r="Y60" t="s">
        <v>149</v>
      </c>
      <c r="Z60" t="s">
        <v>625</v>
      </c>
      <c r="AA60" t="s">
        <v>215</v>
      </c>
      <c r="AB60">
        <v>62871</v>
      </c>
      <c r="AC60">
        <v>74113</v>
      </c>
      <c r="AD60">
        <v>79329</v>
      </c>
      <c r="AE60" s="72">
        <v>72104.333333333328</v>
      </c>
      <c r="BC60" t="s">
        <v>10</v>
      </c>
      <c r="BD60" t="s">
        <v>766</v>
      </c>
      <c r="BE60" t="s">
        <v>946</v>
      </c>
      <c r="BF60" t="s">
        <v>108</v>
      </c>
      <c r="BG60" t="s">
        <v>802</v>
      </c>
      <c r="BH60" s="471">
        <v>0</v>
      </c>
      <c r="BI60" s="471" t="s">
        <v>227</v>
      </c>
      <c r="CC60" t="s">
        <v>214</v>
      </c>
      <c r="CD60" t="s">
        <v>722</v>
      </c>
      <c r="CE60" t="s">
        <v>894</v>
      </c>
      <c r="CF60" t="s">
        <v>1715</v>
      </c>
      <c r="CG60" t="str">
        <f>Table_Safety_Targets[[#This Row],[ANSP]]&amp;Table_Safety_Targets[[#This Row],[Safety Area]]</f>
        <v>HANSPSafety policy and objectives</v>
      </c>
    </row>
    <row r="61" spans="17:85">
      <c r="Y61" t="s">
        <v>191</v>
      </c>
      <c r="Z61" t="s">
        <v>628</v>
      </c>
      <c r="AA61" t="s">
        <v>0</v>
      </c>
      <c r="AB61">
        <v>70575</v>
      </c>
      <c r="AC61">
        <v>72636</v>
      </c>
      <c r="AD61">
        <v>72488</v>
      </c>
      <c r="AE61" s="72">
        <v>71899.666666666672</v>
      </c>
      <c r="BC61" t="s">
        <v>10</v>
      </c>
      <c r="BD61" t="s">
        <v>766</v>
      </c>
      <c r="BE61" t="s">
        <v>946</v>
      </c>
      <c r="BF61" t="s">
        <v>112</v>
      </c>
      <c r="BG61" t="s">
        <v>803</v>
      </c>
      <c r="BH61" s="471">
        <v>0</v>
      </c>
      <c r="BI61" s="471" t="s">
        <v>227</v>
      </c>
      <c r="CC61" t="s">
        <v>214</v>
      </c>
      <c r="CD61" t="s">
        <v>722</v>
      </c>
      <c r="CE61" t="s">
        <v>895</v>
      </c>
      <c r="CF61" t="s">
        <v>1715</v>
      </c>
      <c r="CG61" t="str">
        <f>Table_Safety_Targets[[#This Row],[ANSP]]&amp;Table_Safety_Targets[[#This Row],[Safety Area]]</f>
        <v>HANSPSafety risk management</v>
      </c>
    </row>
    <row r="62" spans="17:85">
      <c r="Y62" t="s">
        <v>150</v>
      </c>
      <c r="Z62" t="s">
        <v>629</v>
      </c>
      <c r="AA62" t="s">
        <v>215</v>
      </c>
      <c r="AB62">
        <v>69131</v>
      </c>
      <c r="AC62">
        <v>71260</v>
      </c>
      <c r="AD62">
        <v>71414</v>
      </c>
      <c r="AE62" s="72">
        <v>70601.666666666672</v>
      </c>
      <c r="BC62" t="s">
        <v>10</v>
      </c>
      <c r="BD62" t="s">
        <v>766</v>
      </c>
      <c r="BE62" t="s">
        <v>946</v>
      </c>
      <c r="BF62" t="s">
        <v>111</v>
      </c>
      <c r="BG62" t="s">
        <v>804</v>
      </c>
      <c r="BH62" s="471">
        <v>0</v>
      </c>
      <c r="BI62" s="471" t="s">
        <v>227</v>
      </c>
      <c r="CC62" t="s">
        <v>214</v>
      </c>
      <c r="CD62" t="s">
        <v>722</v>
      </c>
      <c r="CE62" t="s">
        <v>896</v>
      </c>
      <c r="CF62" t="s">
        <v>1715</v>
      </c>
      <c r="CG62" t="str">
        <f>Table_Safety_Targets[[#This Row],[ANSP]]&amp;Table_Safety_Targets[[#This Row],[Safety Area]]</f>
        <v>HANSPSafety assurance</v>
      </c>
    </row>
    <row r="63" spans="17:85">
      <c r="Y63" t="s">
        <v>154</v>
      </c>
      <c r="Z63" t="s">
        <v>12</v>
      </c>
      <c r="AA63" t="s">
        <v>12</v>
      </c>
      <c r="AB63">
        <v>65552</v>
      </c>
      <c r="AC63">
        <v>70667</v>
      </c>
      <c r="AD63">
        <v>74875</v>
      </c>
      <c r="AE63" s="72">
        <v>70364.666666666672</v>
      </c>
      <c r="BC63" t="s">
        <v>10</v>
      </c>
      <c r="BD63" t="s">
        <v>766</v>
      </c>
      <c r="BE63" t="s">
        <v>946</v>
      </c>
      <c r="BF63" t="s">
        <v>116</v>
      </c>
      <c r="BG63" t="s">
        <v>805</v>
      </c>
      <c r="BH63" s="471">
        <v>0</v>
      </c>
      <c r="BI63" s="471" t="s">
        <v>227</v>
      </c>
      <c r="CC63" t="s">
        <v>214</v>
      </c>
      <c r="CD63" t="s">
        <v>722</v>
      </c>
      <c r="CE63" t="s">
        <v>897</v>
      </c>
      <c r="CF63" t="s">
        <v>1715</v>
      </c>
      <c r="CG63" t="str">
        <f>Table_Safety_Targets[[#This Row],[ANSP]]&amp;Table_Safety_Targets[[#This Row],[Safety Area]]</f>
        <v>HANSPSafety promotion</v>
      </c>
    </row>
    <row r="64" spans="17:85">
      <c r="BC64" t="s">
        <v>10</v>
      </c>
      <c r="BD64" t="s">
        <v>766</v>
      </c>
      <c r="BE64" t="s">
        <v>946</v>
      </c>
      <c r="BF64" t="s">
        <v>113</v>
      </c>
      <c r="BG64" t="s">
        <v>806</v>
      </c>
      <c r="BH64" s="471">
        <v>0</v>
      </c>
      <c r="BI64" s="471" t="s">
        <v>227</v>
      </c>
      <c r="CC64" t="s">
        <v>214</v>
      </c>
      <c r="CD64" t="s">
        <v>722</v>
      </c>
      <c r="CE64" t="s">
        <v>898</v>
      </c>
      <c r="CF64" t="s">
        <v>1715</v>
      </c>
      <c r="CG64" t="str">
        <f>Table_Safety_Targets[[#This Row],[ANSP]]&amp;Table_Safety_Targets[[#This Row],[Safety Area]]</f>
        <v>HANSPSafety culture</v>
      </c>
    </row>
    <row r="65" spans="55:85">
      <c r="BC65" t="s">
        <v>10</v>
      </c>
      <c r="BD65" t="s">
        <v>766</v>
      </c>
      <c r="BE65" t="s">
        <v>946</v>
      </c>
      <c r="BF65" t="s">
        <v>115</v>
      </c>
      <c r="BG65" t="s">
        <v>807</v>
      </c>
      <c r="BH65" s="471">
        <v>0</v>
      </c>
      <c r="BI65" s="471" t="s">
        <v>227</v>
      </c>
      <c r="CC65" t="s">
        <v>5</v>
      </c>
      <c r="CD65" t="s">
        <v>724</v>
      </c>
      <c r="CE65" t="s">
        <v>894</v>
      </c>
      <c r="CF65" t="s">
        <v>1715</v>
      </c>
      <c r="CG65" t="str">
        <f>Table_Safety_Targets[[#This Row],[ANSP]]&amp;Table_Safety_Targets[[#This Row],[Safety Area]]</f>
        <v>HungarocontrolSafety policy and objectives</v>
      </c>
    </row>
    <row r="66" spans="55:85">
      <c r="BC66" t="s">
        <v>10</v>
      </c>
      <c r="BD66" t="s">
        <v>766</v>
      </c>
      <c r="BE66" t="s">
        <v>946</v>
      </c>
      <c r="BF66" t="s">
        <v>109</v>
      </c>
      <c r="BG66" t="s">
        <v>808</v>
      </c>
      <c r="BH66" s="471">
        <v>0</v>
      </c>
      <c r="BI66" s="471" t="s">
        <v>227</v>
      </c>
      <c r="CC66" t="s">
        <v>5</v>
      </c>
      <c r="CD66" t="s">
        <v>724</v>
      </c>
      <c r="CE66" t="s">
        <v>895</v>
      </c>
      <c r="CF66" t="s">
        <v>1715</v>
      </c>
      <c r="CG66" t="str">
        <f>Table_Safety_Targets[[#This Row],[ANSP]]&amp;Table_Safety_Targets[[#This Row],[Safety Area]]</f>
        <v>HungarocontrolSafety risk management</v>
      </c>
    </row>
    <row r="67" spans="55:85">
      <c r="BC67" t="s">
        <v>10</v>
      </c>
      <c r="BD67" t="s">
        <v>766</v>
      </c>
      <c r="BE67" t="s">
        <v>946</v>
      </c>
      <c r="BF67" t="s">
        <v>114</v>
      </c>
      <c r="BG67" t="s">
        <v>809</v>
      </c>
      <c r="BH67" s="471">
        <v>0.15852842809364548</v>
      </c>
      <c r="BI67" s="471" t="s">
        <v>227</v>
      </c>
      <c r="CC67" t="s">
        <v>5</v>
      </c>
      <c r="CD67" t="s">
        <v>724</v>
      </c>
      <c r="CE67" t="s">
        <v>896</v>
      </c>
      <c r="CF67" t="s">
        <v>1715</v>
      </c>
      <c r="CG67" t="str">
        <f>Table_Safety_Targets[[#This Row],[ANSP]]&amp;Table_Safety_Targets[[#This Row],[Safety Area]]</f>
        <v>HungarocontrolSafety assurance</v>
      </c>
    </row>
    <row r="68" spans="55:85">
      <c r="BC68" t="s">
        <v>10</v>
      </c>
      <c r="BD68" t="s">
        <v>766</v>
      </c>
      <c r="BE68" t="s">
        <v>946</v>
      </c>
      <c r="BF68" t="s">
        <v>122</v>
      </c>
      <c r="BG68" t="s">
        <v>810</v>
      </c>
      <c r="BH68" s="471">
        <v>0</v>
      </c>
      <c r="BI68" s="471" t="s">
        <v>227</v>
      </c>
      <c r="CC68" t="s">
        <v>5</v>
      </c>
      <c r="CD68" t="s">
        <v>724</v>
      </c>
      <c r="CE68" t="s">
        <v>897</v>
      </c>
      <c r="CF68" t="s">
        <v>1715</v>
      </c>
      <c r="CG68" t="str">
        <f>Table_Safety_Targets[[#This Row],[ANSP]]&amp;Table_Safety_Targets[[#This Row],[Safety Area]]</f>
        <v>HungarocontrolSafety promotion</v>
      </c>
    </row>
    <row r="69" spans="55:85">
      <c r="BC69" t="s">
        <v>10</v>
      </c>
      <c r="BD69" t="s">
        <v>766</v>
      </c>
      <c r="BE69" t="s">
        <v>946</v>
      </c>
      <c r="BF69" t="s">
        <v>118</v>
      </c>
      <c r="BG69" t="s">
        <v>811</v>
      </c>
      <c r="BH69" s="471">
        <v>0</v>
      </c>
      <c r="BI69" s="471" t="s">
        <v>227</v>
      </c>
      <c r="CC69" t="s">
        <v>5</v>
      </c>
      <c r="CD69" t="s">
        <v>724</v>
      </c>
      <c r="CE69" t="s">
        <v>898</v>
      </c>
      <c r="CF69" t="s">
        <v>1715</v>
      </c>
      <c r="CG69" t="str">
        <f>Table_Safety_Targets[[#This Row],[ANSP]]&amp;Table_Safety_Targets[[#This Row],[Safety Area]]</f>
        <v>HungarocontrolSafety culture</v>
      </c>
    </row>
    <row r="70" spans="55:85">
      <c r="BC70" t="s">
        <v>10</v>
      </c>
      <c r="BD70" t="s">
        <v>766</v>
      </c>
      <c r="BE70" t="s">
        <v>946</v>
      </c>
      <c r="BF70" t="s">
        <v>117</v>
      </c>
      <c r="BG70" t="s">
        <v>812</v>
      </c>
      <c r="BH70" s="471">
        <v>0.5014044943820225</v>
      </c>
      <c r="BI70" s="471" t="s">
        <v>227</v>
      </c>
      <c r="CC70" t="s">
        <v>50</v>
      </c>
      <c r="CD70" t="s">
        <v>52</v>
      </c>
      <c r="CE70" t="s">
        <v>894</v>
      </c>
      <c r="CF70" t="s">
        <v>1715</v>
      </c>
      <c r="CG70" t="str">
        <f>Table_Safety_Targets[[#This Row],[ANSP]]&amp;Table_Safety_Targets[[#This Row],[Safety Area]]</f>
        <v>IAASafety policy and objectives</v>
      </c>
    </row>
    <row r="71" spans="55:85">
      <c r="BC71" t="s">
        <v>10</v>
      </c>
      <c r="BD71" t="s">
        <v>766</v>
      </c>
      <c r="BE71" t="s">
        <v>946</v>
      </c>
      <c r="BF71" t="s">
        <v>1540</v>
      </c>
      <c r="BG71" t="s">
        <v>1541</v>
      </c>
      <c r="BH71" s="471">
        <v>0.13050993949870354</v>
      </c>
      <c r="BI71" s="471" t="s">
        <v>227</v>
      </c>
      <c r="CC71" t="s">
        <v>50</v>
      </c>
      <c r="CD71" t="s">
        <v>52</v>
      </c>
      <c r="CE71" t="s">
        <v>895</v>
      </c>
      <c r="CF71" t="s">
        <v>1718</v>
      </c>
      <c r="CG71" t="str">
        <f>Table_Safety_Targets[[#This Row],[ANSP]]&amp;Table_Safety_Targets[[#This Row],[Safety Area]]</f>
        <v>IAASafety risk management</v>
      </c>
    </row>
    <row r="72" spans="55:85">
      <c r="BC72" t="s">
        <v>10</v>
      </c>
      <c r="BD72" t="s">
        <v>766</v>
      </c>
      <c r="BE72" t="s">
        <v>946</v>
      </c>
      <c r="BF72" t="s">
        <v>123</v>
      </c>
      <c r="BG72" t="s">
        <v>813</v>
      </c>
      <c r="BH72" s="471">
        <v>0</v>
      </c>
      <c r="BI72" s="471" t="s">
        <v>227</v>
      </c>
      <c r="CC72" t="s">
        <v>50</v>
      </c>
      <c r="CD72" t="s">
        <v>52</v>
      </c>
      <c r="CE72" t="s">
        <v>896</v>
      </c>
      <c r="CF72" t="s">
        <v>1715</v>
      </c>
      <c r="CG72" t="str">
        <f>Table_Safety_Targets[[#This Row],[ANSP]]&amp;Table_Safety_Targets[[#This Row],[Safety Area]]</f>
        <v>IAASafety assurance</v>
      </c>
    </row>
    <row r="73" spans="55:85">
      <c r="BC73" t="s">
        <v>10</v>
      </c>
      <c r="BD73" t="s">
        <v>766</v>
      </c>
      <c r="BE73" t="s">
        <v>946</v>
      </c>
      <c r="BF73" t="s">
        <v>125</v>
      </c>
      <c r="BG73" t="s">
        <v>814</v>
      </c>
      <c r="BH73" s="471">
        <v>0</v>
      </c>
      <c r="BI73" s="471" t="s">
        <v>227</v>
      </c>
      <c r="CC73" t="s">
        <v>50</v>
      </c>
      <c r="CD73" t="s">
        <v>52</v>
      </c>
      <c r="CE73" t="s">
        <v>897</v>
      </c>
      <c r="CF73" t="s">
        <v>1715</v>
      </c>
      <c r="CG73" t="str">
        <f>Table_Safety_Targets[[#This Row],[ANSP]]&amp;Table_Safety_Targets[[#This Row],[Safety Area]]</f>
        <v>IAASafety promotion</v>
      </c>
    </row>
    <row r="74" spans="55:85">
      <c r="BC74" t="s">
        <v>10</v>
      </c>
      <c r="BD74" t="s">
        <v>766</v>
      </c>
      <c r="BE74" t="s">
        <v>946</v>
      </c>
      <c r="BF74" t="s">
        <v>120</v>
      </c>
      <c r="BG74" t="s">
        <v>815</v>
      </c>
      <c r="BH74" s="471">
        <v>0</v>
      </c>
      <c r="BI74" s="471" t="s">
        <v>227</v>
      </c>
      <c r="CC74" t="s">
        <v>50</v>
      </c>
      <c r="CD74" t="s">
        <v>52</v>
      </c>
      <c r="CE74" t="s">
        <v>898</v>
      </c>
      <c r="CF74" t="s">
        <v>1715</v>
      </c>
      <c r="CG74" t="str">
        <f>Table_Safety_Targets[[#This Row],[ANSP]]&amp;Table_Safety_Targets[[#This Row],[Safety Area]]</f>
        <v>IAASafety culture</v>
      </c>
    </row>
    <row r="75" spans="55:85">
      <c r="BC75" t="s">
        <v>10</v>
      </c>
      <c r="BD75" t="s">
        <v>766</v>
      </c>
      <c r="BE75" t="s">
        <v>946</v>
      </c>
      <c r="BF75" t="s">
        <v>121</v>
      </c>
      <c r="BG75" t="s">
        <v>816</v>
      </c>
      <c r="BH75" s="471">
        <v>0</v>
      </c>
      <c r="BI75" s="471" t="s">
        <v>227</v>
      </c>
      <c r="CC75" t="s">
        <v>215</v>
      </c>
      <c r="CD75" t="s">
        <v>434</v>
      </c>
      <c r="CE75" t="s">
        <v>894</v>
      </c>
      <c r="CF75" t="s">
        <v>1715</v>
      </c>
      <c r="CG75" t="str">
        <f>Table_Safety_Targets[[#This Row],[ANSP]]&amp;Table_Safety_Targets[[#This Row],[Safety Area]]</f>
        <v>ENAVSafety policy and objectives</v>
      </c>
    </row>
    <row r="76" spans="55:85">
      <c r="BC76" t="s">
        <v>10</v>
      </c>
      <c r="BD76" t="s">
        <v>766</v>
      </c>
      <c r="BE76" t="s">
        <v>946</v>
      </c>
      <c r="BF76" t="s">
        <v>119</v>
      </c>
      <c r="BG76" t="s">
        <v>817</v>
      </c>
      <c r="BH76" s="471">
        <v>0</v>
      </c>
      <c r="BI76" s="471" t="s">
        <v>227</v>
      </c>
      <c r="CC76" t="s">
        <v>215</v>
      </c>
      <c r="CD76" t="s">
        <v>434</v>
      </c>
      <c r="CE76" t="s">
        <v>895</v>
      </c>
      <c r="CF76" t="s">
        <v>1715</v>
      </c>
      <c r="CG76" t="str">
        <f>Table_Safety_Targets[[#This Row],[ANSP]]&amp;Table_Safety_Targets[[#This Row],[Safety Area]]</f>
        <v>ENAVSafety risk management</v>
      </c>
    </row>
    <row r="77" spans="55:85">
      <c r="BC77" t="s">
        <v>10</v>
      </c>
      <c r="BD77" t="s">
        <v>766</v>
      </c>
      <c r="BE77" t="s">
        <v>946</v>
      </c>
      <c r="BF77" t="s">
        <v>124</v>
      </c>
      <c r="BG77" t="s">
        <v>818</v>
      </c>
      <c r="BH77" s="471">
        <v>0</v>
      </c>
      <c r="BI77" s="471" t="s">
        <v>227</v>
      </c>
      <c r="CC77" t="s">
        <v>215</v>
      </c>
      <c r="CD77" t="s">
        <v>434</v>
      </c>
      <c r="CE77" t="s">
        <v>896</v>
      </c>
      <c r="CF77" t="s">
        <v>1715</v>
      </c>
      <c r="CG77" t="str">
        <f>Table_Safety_Targets[[#This Row],[ANSP]]&amp;Table_Safety_Targets[[#This Row],[Safety Area]]</f>
        <v>ENAVSafety assurance</v>
      </c>
    </row>
    <row r="78" spans="55:85">
      <c r="BC78" t="s">
        <v>11</v>
      </c>
      <c r="BD78" t="s">
        <v>1505</v>
      </c>
      <c r="BE78" t="s">
        <v>947</v>
      </c>
      <c r="BF78" t="s">
        <v>126</v>
      </c>
      <c r="BG78" t="s">
        <v>571</v>
      </c>
      <c r="BH78">
        <v>0.1867307058435749</v>
      </c>
      <c r="BI78">
        <v>1.78500516474312</v>
      </c>
      <c r="CC78" t="s">
        <v>215</v>
      </c>
      <c r="CD78" t="s">
        <v>434</v>
      </c>
      <c r="CE78" t="s">
        <v>897</v>
      </c>
      <c r="CF78" t="s">
        <v>1715</v>
      </c>
      <c r="CG78" t="str">
        <f>Table_Safety_Targets[[#This Row],[ANSP]]&amp;Table_Safety_Targets[[#This Row],[Safety Area]]</f>
        <v>ENAVSafety promotion</v>
      </c>
    </row>
    <row r="79" spans="55:85">
      <c r="BC79" t="s">
        <v>11</v>
      </c>
      <c r="BD79" t="s">
        <v>1505</v>
      </c>
      <c r="BE79" t="s">
        <v>947</v>
      </c>
      <c r="BF79" t="s">
        <v>127</v>
      </c>
      <c r="BG79" t="s">
        <v>819</v>
      </c>
      <c r="BH79">
        <v>7.9415272807966494E-2</v>
      </c>
      <c r="BI79">
        <v>0.89860218991415675</v>
      </c>
      <c r="CC79" t="s">
        <v>215</v>
      </c>
      <c r="CD79" t="s">
        <v>434</v>
      </c>
      <c r="CE79" t="s">
        <v>898</v>
      </c>
      <c r="CF79" t="s">
        <v>1717</v>
      </c>
      <c r="CG79" t="str">
        <f>Table_Safety_Targets[[#This Row],[ANSP]]&amp;Table_Safety_Targets[[#This Row],[Safety Area]]</f>
        <v>ENAVSafety culture</v>
      </c>
    </row>
    <row r="80" spans="55:85">
      <c r="BC80" t="s">
        <v>11</v>
      </c>
      <c r="BD80" t="s">
        <v>1505</v>
      </c>
      <c r="BE80" t="s">
        <v>947</v>
      </c>
      <c r="BF80" t="s">
        <v>128</v>
      </c>
      <c r="BG80" t="s">
        <v>820</v>
      </c>
      <c r="BH80">
        <v>0.26498895350313617</v>
      </c>
      <c r="BI80">
        <v>0.91239001053858959</v>
      </c>
      <c r="CC80" t="s">
        <v>41</v>
      </c>
      <c r="CD80" t="s">
        <v>437</v>
      </c>
      <c r="CE80" t="s">
        <v>894</v>
      </c>
      <c r="CF80" t="s">
        <v>1715</v>
      </c>
      <c r="CG80" t="str">
        <f>Table_Safety_Targets[[#This Row],[ANSP]]&amp;Table_Safety_Targets[[#This Row],[Safety Area]]</f>
        <v>LGSSafety policy and objectives</v>
      </c>
    </row>
    <row r="81" spans="55:85">
      <c r="BC81" t="s">
        <v>11</v>
      </c>
      <c r="BD81" t="s">
        <v>1505</v>
      </c>
      <c r="BE81" t="s">
        <v>947</v>
      </c>
      <c r="BF81" t="s">
        <v>204</v>
      </c>
      <c r="BG81" t="s">
        <v>596</v>
      </c>
      <c r="BH81">
        <v>4.9723756906077346E-2</v>
      </c>
      <c r="BI81">
        <v>0.52950108937489215</v>
      </c>
      <c r="CC81" t="s">
        <v>41</v>
      </c>
      <c r="CD81" t="s">
        <v>437</v>
      </c>
      <c r="CE81" t="s">
        <v>895</v>
      </c>
      <c r="CF81" t="s">
        <v>1715</v>
      </c>
      <c r="CG81" t="str">
        <f>Table_Safety_Targets[[#This Row],[ANSP]]&amp;Table_Safety_Targets[[#This Row],[Safety Area]]</f>
        <v>LGSSafety risk management</v>
      </c>
    </row>
    <row r="82" spans="55:85">
      <c r="BC82" t="s">
        <v>11</v>
      </c>
      <c r="BD82" t="s">
        <v>1505</v>
      </c>
      <c r="BE82" t="s">
        <v>947</v>
      </c>
      <c r="BF82" t="s">
        <v>129</v>
      </c>
      <c r="BG82" t="s">
        <v>599</v>
      </c>
      <c r="BH82">
        <v>3.1277092364121371E-2</v>
      </c>
      <c r="BI82">
        <v>1.0616451863233793</v>
      </c>
      <c r="CC82" t="s">
        <v>41</v>
      </c>
      <c r="CD82" t="s">
        <v>437</v>
      </c>
      <c r="CE82" t="s">
        <v>896</v>
      </c>
      <c r="CF82" t="s">
        <v>1715</v>
      </c>
      <c r="CG82" t="str">
        <f>Table_Safety_Targets[[#This Row],[ANSP]]&amp;Table_Safety_Targets[[#This Row],[Safety Area]]</f>
        <v>LGSSafety assurance</v>
      </c>
    </row>
    <row r="83" spans="55:85">
      <c r="BC83" t="s">
        <v>11</v>
      </c>
      <c r="BD83" t="s">
        <v>1505</v>
      </c>
      <c r="BE83" t="s">
        <v>947</v>
      </c>
      <c r="BF83" t="s">
        <v>130</v>
      </c>
      <c r="BG83" t="s">
        <v>821</v>
      </c>
      <c r="BH83">
        <v>3.350096515290054E-2</v>
      </c>
      <c r="BI83">
        <v>0.94282487547668836</v>
      </c>
      <c r="CC83" t="s">
        <v>41</v>
      </c>
      <c r="CD83" t="s">
        <v>437</v>
      </c>
      <c r="CE83" t="s">
        <v>897</v>
      </c>
      <c r="CF83" t="s">
        <v>1715</v>
      </c>
      <c r="CG83" t="str">
        <f>Table_Safety_Targets[[#This Row],[ANSP]]&amp;Table_Safety_Targets[[#This Row],[Safety Area]]</f>
        <v>LGSSafety promotion</v>
      </c>
    </row>
    <row r="84" spans="55:85">
      <c r="BC84" t="s">
        <v>11</v>
      </c>
      <c r="BD84" t="s">
        <v>1505</v>
      </c>
      <c r="BE84" t="s">
        <v>947</v>
      </c>
      <c r="BF84" t="s">
        <v>131</v>
      </c>
      <c r="BG84" t="s">
        <v>605</v>
      </c>
      <c r="BH84">
        <v>0</v>
      </c>
      <c r="BI84">
        <v>0.46026320040560031</v>
      </c>
      <c r="CC84" t="s">
        <v>41</v>
      </c>
      <c r="CD84" t="s">
        <v>437</v>
      </c>
      <c r="CE84" t="s">
        <v>898</v>
      </c>
      <c r="CF84" t="s">
        <v>1715</v>
      </c>
      <c r="CG84" t="str">
        <f>Table_Safety_Targets[[#This Row],[ANSP]]&amp;Table_Safety_Targets[[#This Row],[Safety Area]]</f>
        <v>LGSSafety culture</v>
      </c>
    </row>
    <row r="85" spans="55:85">
      <c r="BC85" t="s">
        <v>11</v>
      </c>
      <c r="BD85" t="s">
        <v>1505</v>
      </c>
      <c r="BE85" t="s">
        <v>947</v>
      </c>
      <c r="BF85" t="s">
        <v>133</v>
      </c>
      <c r="BG85" t="s">
        <v>822</v>
      </c>
      <c r="BH85">
        <v>0</v>
      </c>
      <c r="BI85">
        <v>0.28007360092245981</v>
      </c>
      <c r="CC85" t="s">
        <v>210</v>
      </c>
      <c r="CD85" t="s">
        <v>1720</v>
      </c>
      <c r="CE85" t="s">
        <v>894</v>
      </c>
      <c r="CF85" t="s">
        <v>1715</v>
      </c>
      <c r="CG85" t="str">
        <f>Table_Safety_Targets[[#This Row],[ANSP]]&amp;Table_Safety_Targets[[#This Row],[Safety Area]]</f>
        <v>SE Oro Navigacija (ON)Safety policy and objectives</v>
      </c>
    </row>
    <row r="86" spans="55:85">
      <c r="BC86" t="s">
        <v>11</v>
      </c>
      <c r="BD86" t="s">
        <v>1505</v>
      </c>
      <c r="BE86" t="s">
        <v>947</v>
      </c>
      <c r="BF86" t="s">
        <v>132</v>
      </c>
      <c r="BG86" t="s">
        <v>823</v>
      </c>
      <c r="BH86">
        <v>0</v>
      </c>
      <c r="BI86">
        <v>0.3099867703760959</v>
      </c>
      <c r="CC86" t="s">
        <v>210</v>
      </c>
      <c r="CD86" t="s">
        <v>1720</v>
      </c>
      <c r="CE86" t="s">
        <v>895</v>
      </c>
      <c r="CF86" t="s">
        <v>1715</v>
      </c>
      <c r="CG86" t="str">
        <f>Table_Safety_Targets[[#This Row],[ANSP]]&amp;Table_Safety_Targets[[#This Row],[Safety Area]]</f>
        <v>SE Oro Navigacija (ON)Safety risk management</v>
      </c>
    </row>
    <row r="87" spans="55:85">
      <c r="BC87" t="s">
        <v>11</v>
      </c>
      <c r="BD87" t="s">
        <v>1505</v>
      </c>
      <c r="BE87" t="s">
        <v>947</v>
      </c>
      <c r="BF87" t="s">
        <v>135</v>
      </c>
      <c r="BG87" t="s">
        <v>824</v>
      </c>
      <c r="BH87">
        <v>0.14118713772222402</v>
      </c>
      <c r="BI87">
        <v>0.7639353094293464</v>
      </c>
      <c r="CC87" t="s">
        <v>210</v>
      </c>
      <c r="CD87" t="s">
        <v>1720</v>
      </c>
      <c r="CE87" t="s">
        <v>896</v>
      </c>
      <c r="CF87" t="s">
        <v>1715</v>
      </c>
      <c r="CG87" t="str">
        <f>Table_Safety_Targets[[#This Row],[ANSP]]&amp;Table_Safety_Targets[[#This Row],[Safety Area]]</f>
        <v>SE Oro Navigacija (ON)Safety assurance</v>
      </c>
    </row>
    <row r="88" spans="55:85">
      <c r="BC88" t="s">
        <v>11</v>
      </c>
      <c r="BD88" t="s">
        <v>1505</v>
      </c>
      <c r="BE88" t="s">
        <v>947</v>
      </c>
      <c r="BF88" t="s">
        <v>134</v>
      </c>
      <c r="BG88" t="s">
        <v>825</v>
      </c>
      <c r="BH88">
        <v>0</v>
      </c>
      <c r="BI88">
        <v>0.26186535206761063</v>
      </c>
      <c r="CC88" t="s">
        <v>210</v>
      </c>
      <c r="CD88" t="s">
        <v>1720</v>
      </c>
      <c r="CE88" t="s">
        <v>897</v>
      </c>
      <c r="CF88" t="s">
        <v>1715</v>
      </c>
      <c r="CG88" t="str">
        <f>Table_Safety_Targets[[#This Row],[ANSP]]&amp;Table_Safety_Targets[[#This Row],[Safety Area]]</f>
        <v>SE Oro Navigacija (ON)Safety promotion</v>
      </c>
    </row>
    <row r="89" spans="55:85">
      <c r="BC89" t="s">
        <v>11</v>
      </c>
      <c r="BD89" t="s">
        <v>1505</v>
      </c>
      <c r="BE89" t="s">
        <v>947</v>
      </c>
      <c r="BF89" t="s">
        <v>136</v>
      </c>
      <c r="BG89" t="s">
        <v>826</v>
      </c>
      <c r="BH89">
        <v>8.7671232876712323E-3</v>
      </c>
      <c r="BI89">
        <v>0.86099279444477472</v>
      </c>
      <c r="CC89" t="s">
        <v>210</v>
      </c>
      <c r="CD89" t="s">
        <v>1720</v>
      </c>
      <c r="CE89" t="s">
        <v>898</v>
      </c>
      <c r="CF89" t="s">
        <v>1717</v>
      </c>
      <c r="CG89" t="str">
        <f>Table_Safety_Targets[[#This Row],[ANSP]]&amp;Table_Safety_Targets[[#This Row],[Safety Area]]</f>
        <v>SE Oro Navigacija (ON)Safety culture</v>
      </c>
    </row>
    <row r="90" spans="55:85">
      <c r="BC90" t="s">
        <v>11</v>
      </c>
      <c r="BD90" t="s">
        <v>1505</v>
      </c>
      <c r="BE90" t="s">
        <v>947</v>
      </c>
      <c r="BF90" t="s">
        <v>137</v>
      </c>
      <c r="BG90" t="s">
        <v>827</v>
      </c>
      <c r="BH90">
        <v>0</v>
      </c>
      <c r="BI90">
        <v>0.92</v>
      </c>
      <c r="CC90" t="s">
        <v>45</v>
      </c>
      <c r="CD90" t="s">
        <v>727</v>
      </c>
      <c r="CE90" t="s">
        <v>894</v>
      </c>
      <c r="CF90" t="s">
        <v>1715</v>
      </c>
      <c r="CG90" t="str">
        <f>Table_Safety_Targets[[#This Row],[ANSP]]&amp;Table_Safety_Targets[[#This Row],[Safety Area]]</f>
        <v>NAV PortugalSafety policy and objectives</v>
      </c>
    </row>
    <row r="91" spans="55:85">
      <c r="BC91" t="s">
        <v>11</v>
      </c>
      <c r="BD91" t="s">
        <v>1505</v>
      </c>
      <c r="BE91" t="s">
        <v>947</v>
      </c>
      <c r="BF91" t="s">
        <v>138</v>
      </c>
      <c r="BG91" t="s">
        <v>828</v>
      </c>
      <c r="BH91">
        <v>0</v>
      </c>
      <c r="BI91">
        <v>0.92</v>
      </c>
      <c r="CC91" t="s">
        <v>45</v>
      </c>
      <c r="CD91" t="s">
        <v>727</v>
      </c>
      <c r="CE91" t="s">
        <v>895</v>
      </c>
      <c r="CF91" t="s">
        <v>1715</v>
      </c>
      <c r="CG91" t="str">
        <f>Table_Safety_Targets[[#This Row],[ANSP]]&amp;Table_Safety_Targets[[#This Row],[Safety Area]]</f>
        <v>NAV PortugalSafety risk management</v>
      </c>
    </row>
    <row r="92" spans="55:85">
      <c r="BC92" t="s">
        <v>11</v>
      </c>
      <c r="BD92" t="s">
        <v>1505</v>
      </c>
      <c r="BE92" t="s">
        <v>947</v>
      </c>
      <c r="BF92" t="s">
        <v>139</v>
      </c>
      <c r="BG92" t="s">
        <v>829</v>
      </c>
      <c r="BH92">
        <v>0</v>
      </c>
      <c r="BI92">
        <v>0.92</v>
      </c>
      <c r="CC92" t="s">
        <v>45</v>
      </c>
      <c r="CD92" t="s">
        <v>727</v>
      </c>
      <c r="CE92" t="s">
        <v>896</v>
      </c>
      <c r="CF92" t="s">
        <v>1715</v>
      </c>
      <c r="CG92" t="str">
        <f>Table_Safety_Targets[[#This Row],[ANSP]]&amp;Table_Safety_Targets[[#This Row],[Safety Area]]</f>
        <v>NAV PortugalSafety assurance</v>
      </c>
    </row>
    <row r="93" spans="55:85">
      <c r="BC93" t="s">
        <v>11</v>
      </c>
      <c r="BD93" t="s">
        <v>1505</v>
      </c>
      <c r="BE93" t="s">
        <v>947</v>
      </c>
      <c r="BF93" t="s">
        <v>140</v>
      </c>
      <c r="BG93" t="s">
        <v>830</v>
      </c>
      <c r="BH93">
        <v>0</v>
      </c>
      <c r="BI93">
        <v>0.27042804283686545</v>
      </c>
      <c r="CC93" t="s">
        <v>45</v>
      </c>
      <c r="CD93" t="s">
        <v>727</v>
      </c>
      <c r="CE93" t="s">
        <v>897</v>
      </c>
      <c r="CF93" t="s">
        <v>1715</v>
      </c>
      <c r="CG93" t="str">
        <f>Table_Safety_Targets[[#This Row],[ANSP]]&amp;Table_Safety_Targets[[#This Row],[Safety Area]]</f>
        <v>NAV PortugalSafety promotion</v>
      </c>
    </row>
    <row r="94" spans="55:85">
      <c r="BC94" t="s">
        <v>214</v>
      </c>
      <c r="BD94" t="s">
        <v>1506</v>
      </c>
      <c r="BE94" t="s">
        <v>948</v>
      </c>
      <c r="BF94" t="s">
        <v>141</v>
      </c>
      <c r="BG94" t="s">
        <v>590</v>
      </c>
      <c r="BH94">
        <v>4.1228246747305436E-2</v>
      </c>
      <c r="BI94">
        <v>1.2</v>
      </c>
      <c r="CC94" t="s">
        <v>45</v>
      </c>
      <c r="CD94" t="s">
        <v>727</v>
      </c>
      <c r="CE94" t="s">
        <v>898</v>
      </c>
      <c r="CF94" t="s">
        <v>1715</v>
      </c>
      <c r="CG94" t="str">
        <f>Table_Safety_Targets[[#This Row],[ANSP]]&amp;Table_Safety_Targets[[#This Row],[Safety Area]]</f>
        <v>NAV PortugalSafety culture</v>
      </c>
    </row>
    <row r="95" spans="55:85">
      <c r="BC95" t="s">
        <v>5</v>
      </c>
      <c r="BD95" t="s">
        <v>1507</v>
      </c>
      <c r="BE95" t="s">
        <v>949</v>
      </c>
      <c r="BF95" t="s">
        <v>142</v>
      </c>
      <c r="BG95" t="s">
        <v>831</v>
      </c>
      <c r="BH95">
        <v>7.9926350587939912E-2</v>
      </c>
      <c r="BI95">
        <v>0.05</v>
      </c>
      <c r="CC95" t="s">
        <v>219</v>
      </c>
      <c r="CD95" t="s">
        <v>445</v>
      </c>
      <c r="CE95" t="s">
        <v>894</v>
      </c>
      <c r="CF95" t="s">
        <v>1715</v>
      </c>
      <c r="CG95" t="str">
        <f>Table_Safety_Targets[[#This Row],[ANSP]]&amp;Table_Safety_Targets[[#This Row],[Safety Area]]</f>
        <v>ROMATSASafety policy and objectives</v>
      </c>
    </row>
    <row r="96" spans="55:85">
      <c r="BC96" t="s">
        <v>50</v>
      </c>
      <c r="BD96" t="s">
        <v>1508</v>
      </c>
      <c r="BE96" t="s">
        <v>950</v>
      </c>
      <c r="BF96" t="s">
        <v>143</v>
      </c>
      <c r="BG96" t="s">
        <v>585</v>
      </c>
      <c r="BH96">
        <v>0.14073716178906681</v>
      </c>
      <c r="BI96">
        <v>0.25</v>
      </c>
      <c r="CC96" t="s">
        <v>219</v>
      </c>
      <c r="CD96" t="s">
        <v>445</v>
      </c>
      <c r="CE96" t="s">
        <v>895</v>
      </c>
      <c r="CF96" t="s">
        <v>1715</v>
      </c>
      <c r="CG96" t="str">
        <f>Table_Safety_Targets[[#This Row],[ANSP]]&amp;Table_Safety_Targets[[#This Row],[Safety Area]]</f>
        <v>ROMATSASafety risk management</v>
      </c>
    </row>
    <row r="97" spans="55:85">
      <c r="BC97" t="s">
        <v>50</v>
      </c>
      <c r="BD97" t="s">
        <v>1508</v>
      </c>
      <c r="BE97" t="s">
        <v>950</v>
      </c>
      <c r="BF97" t="s">
        <v>832</v>
      </c>
      <c r="BG97" t="s">
        <v>833</v>
      </c>
      <c r="BH97">
        <v>0</v>
      </c>
      <c r="BI97">
        <v>0</v>
      </c>
      <c r="CC97" t="s">
        <v>219</v>
      </c>
      <c r="CD97" t="s">
        <v>445</v>
      </c>
      <c r="CE97" t="s">
        <v>896</v>
      </c>
      <c r="CF97" t="s">
        <v>1715</v>
      </c>
      <c r="CG97" t="str">
        <f>Table_Safety_Targets[[#This Row],[ANSP]]&amp;Table_Safety_Targets[[#This Row],[Safety Area]]</f>
        <v>ROMATSASafety assurance</v>
      </c>
    </row>
    <row r="98" spans="55:85">
      <c r="BC98" t="s">
        <v>50</v>
      </c>
      <c r="BD98" t="s">
        <v>1508</v>
      </c>
      <c r="BE98" t="s">
        <v>950</v>
      </c>
      <c r="BF98" t="s">
        <v>834</v>
      </c>
      <c r="BG98" t="s">
        <v>835</v>
      </c>
      <c r="BH98">
        <v>0</v>
      </c>
      <c r="BI98">
        <v>0</v>
      </c>
      <c r="CC98" t="s">
        <v>219</v>
      </c>
      <c r="CD98" t="s">
        <v>445</v>
      </c>
      <c r="CE98" t="s">
        <v>897</v>
      </c>
      <c r="CF98" t="s">
        <v>1715</v>
      </c>
      <c r="CG98" t="str">
        <f>Table_Safety_Targets[[#This Row],[ANSP]]&amp;Table_Safety_Targets[[#This Row],[Safety Area]]</f>
        <v>ROMATSASafety promotion</v>
      </c>
    </row>
    <row r="99" spans="55:85">
      <c r="BC99" t="s">
        <v>215</v>
      </c>
      <c r="BD99" t="s">
        <v>241</v>
      </c>
      <c r="BE99" t="s">
        <v>951</v>
      </c>
      <c r="BF99" t="s">
        <v>144</v>
      </c>
      <c r="BG99" t="s">
        <v>836</v>
      </c>
      <c r="BH99">
        <v>2.2179680550721274E-2</v>
      </c>
      <c r="BI99">
        <v>0.5</v>
      </c>
      <c r="CC99" t="s">
        <v>219</v>
      </c>
      <c r="CD99" t="s">
        <v>445</v>
      </c>
      <c r="CE99" t="s">
        <v>898</v>
      </c>
      <c r="CF99" t="s">
        <v>1715</v>
      </c>
      <c r="CG99" t="str">
        <f>Table_Safety_Targets[[#This Row],[ANSP]]&amp;Table_Safety_Targets[[#This Row],[Safety Area]]</f>
        <v>ROMATSASafety culture</v>
      </c>
    </row>
    <row r="100" spans="55:85">
      <c r="BC100" t="s">
        <v>215</v>
      </c>
      <c r="BD100" t="s">
        <v>242</v>
      </c>
      <c r="BE100" t="s">
        <v>952</v>
      </c>
      <c r="BF100" t="s">
        <v>145</v>
      </c>
      <c r="BG100" t="s">
        <v>837</v>
      </c>
      <c r="BH100">
        <v>1.9814575247951702E-2</v>
      </c>
      <c r="BI100">
        <v>0.1</v>
      </c>
      <c r="CC100" t="s">
        <v>2</v>
      </c>
      <c r="CD100" t="s">
        <v>426</v>
      </c>
      <c r="CE100" t="s">
        <v>894</v>
      </c>
      <c r="CF100" t="s">
        <v>1717</v>
      </c>
      <c r="CG100" t="str">
        <f>Table_Safety_Targets[[#This Row],[ANSP]]&amp;Table_Safety_Targets[[#This Row],[Safety Area]]</f>
        <v>Austro ControlSafety policy and objectives</v>
      </c>
    </row>
    <row r="101" spans="55:85">
      <c r="BC101" t="s">
        <v>215</v>
      </c>
      <c r="BD101" t="s">
        <v>242</v>
      </c>
      <c r="BE101" t="s">
        <v>952</v>
      </c>
      <c r="BF101" t="s">
        <v>146</v>
      </c>
      <c r="BG101" t="s">
        <v>838</v>
      </c>
      <c r="BH101">
        <v>5.7384668069076855E-2</v>
      </c>
      <c r="BI101">
        <v>0.5</v>
      </c>
      <c r="CC101" t="s">
        <v>2</v>
      </c>
      <c r="CD101" t="s">
        <v>426</v>
      </c>
      <c r="CE101" t="s">
        <v>895</v>
      </c>
      <c r="CF101" t="s">
        <v>1715</v>
      </c>
      <c r="CG101" t="str">
        <f>Table_Safety_Targets[[#This Row],[ANSP]]&amp;Table_Safety_Targets[[#This Row],[Safety Area]]</f>
        <v>Austro ControlSafety risk management</v>
      </c>
    </row>
    <row r="102" spans="55:85">
      <c r="BC102" t="s">
        <v>215</v>
      </c>
      <c r="BD102" t="s">
        <v>242</v>
      </c>
      <c r="BE102" t="s">
        <v>952</v>
      </c>
      <c r="BF102" t="s">
        <v>147</v>
      </c>
      <c r="BG102" t="s">
        <v>839</v>
      </c>
      <c r="BH102">
        <v>0.15889374090247452</v>
      </c>
      <c r="BI102">
        <v>0.4</v>
      </c>
      <c r="CC102" t="s">
        <v>2</v>
      </c>
      <c r="CD102" t="s">
        <v>426</v>
      </c>
      <c r="CE102" t="s">
        <v>896</v>
      </c>
      <c r="CF102" t="s">
        <v>1717</v>
      </c>
      <c r="CG102" t="str">
        <f>Table_Safety_Targets[[#This Row],[ANSP]]&amp;Table_Safety_Targets[[#This Row],[Safety Area]]</f>
        <v>Austro ControlSafety assurance</v>
      </c>
    </row>
    <row r="103" spans="55:85">
      <c r="BC103" t="s">
        <v>215</v>
      </c>
      <c r="BD103" t="s">
        <v>242</v>
      </c>
      <c r="BE103" t="s">
        <v>952</v>
      </c>
      <c r="BF103" t="s">
        <v>148</v>
      </c>
      <c r="BG103" t="s">
        <v>840</v>
      </c>
      <c r="BH103">
        <v>3.7029407220476901E-2</v>
      </c>
      <c r="BI103">
        <v>0.03</v>
      </c>
      <c r="CC103" t="s">
        <v>2</v>
      </c>
      <c r="CD103" t="s">
        <v>426</v>
      </c>
      <c r="CE103" t="s">
        <v>897</v>
      </c>
      <c r="CF103" t="s">
        <v>1717</v>
      </c>
      <c r="CG103" t="str">
        <f>Table_Safety_Targets[[#This Row],[ANSP]]&amp;Table_Safety_Targets[[#This Row],[Safety Area]]</f>
        <v>Austro ControlSafety promotion</v>
      </c>
    </row>
    <row r="104" spans="55:85">
      <c r="BC104" t="s">
        <v>41</v>
      </c>
      <c r="BD104" t="s">
        <v>1509</v>
      </c>
      <c r="BE104" t="s">
        <v>953</v>
      </c>
      <c r="BF104" t="s">
        <v>151</v>
      </c>
      <c r="BG104" t="s">
        <v>841</v>
      </c>
      <c r="BH104">
        <v>0</v>
      </c>
      <c r="BI104">
        <v>0.02</v>
      </c>
      <c r="CC104" t="s">
        <v>2</v>
      </c>
      <c r="CD104" t="s">
        <v>426</v>
      </c>
      <c r="CE104" t="s">
        <v>898</v>
      </c>
      <c r="CF104" t="s">
        <v>1717</v>
      </c>
      <c r="CG104" t="str">
        <f>Table_Safety_Targets[[#This Row],[ANSP]]&amp;Table_Safety_Targets[[#This Row],[Safety Area]]</f>
        <v>Austro ControlSafety culture</v>
      </c>
    </row>
    <row r="105" spans="55:85">
      <c r="BC105" t="s">
        <v>41</v>
      </c>
      <c r="BD105" t="s">
        <v>1509</v>
      </c>
      <c r="BE105" t="s">
        <v>953</v>
      </c>
      <c r="BF105" t="s">
        <v>152</v>
      </c>
      <c r="BG105" t="s">
        <v>842</v>
      </c>
      <c r="BH105">
        <v>0</v>
      </c>
      <c r="BI105">
        <v>0</v>
      </c>
      <c r="CC105" t="s">
        <v>6</v>
      </c>
      <c r="CD105" t="s">
        <v>725</v>
      </c>
      <c r="CE105" t="s">
        <v>894</v>
      </c>
      <c r="CF105" t="s">
        <v>1717</v>
      </c>
      <c r="CG105" t="str">
        <f>Table_Safety_Targets[[#This Row],[ANSP]]&amp;Table_Safety_Targets[[#This Row],[Safety Area]]</f>
        <v>LPS SRSafety policy and objectives</v>
      </c>
    </row>
    <row r="106" spans="55:85">
      <c r="BC106" t="s">
        <v>41</v>
      </c>
      <c r="BD106" t="s">
        <v>1509</v>
      </c>
      <c r="BE106" t="s">
        <v>953</v>
      </c>
      <c r="BF106" t="s">
        <v>153</v>
      </c>
      <c r="BG106" t="s">
        <v>843</v>
      </c>
      <c r="BH106">
        <v>0</v>
      </c>
      <c r="BI106">
        <v>0</v>
      </c>
      <c r="CC106" t="s">
        <v>6</v>
      </c>
      <c r="CD106" t="s">
        <v>725</v>
      </c>
      <c r="CE106" t="s">
        <v>895</v>
      </c>
      <c r="CF106" t="s">
        <v>1715</v>
      </c>
      <c r="CG106" t="str">
        <f>Table_Safety_Targets[[#This Row],[ANSP]]&amp;Table_Safety_Targets[[#This Row],[Safety Area]]</f>
        <v>LPS SRSafety risk management</v>
      </c>
    </row>
    <row r="107" spans="55:85">
      <c r="BC107" t="s">
        <v>41</v>
      </c>
      <c r="BD107" t="s">
        <v>1509</v>
      </c>
      <c r="BE107" t="s">
        <v>953</v>
      </c>
      <c r="BF107" t="s">
        <v>1542</v>
      </c>
      <c r="BG107" t="s">
        <v>1543</v>
      </c>
      <c r="BH107">
        <v>0</v>
      </c>
      <c r="BI107">
        <v>0</v>
      </c>
      <c r="CC107" t="s">
        <v>6</v>
      </c>
      <c r="CD107" t="s">
        <v>725</v>
      </c>
      <c r="CE107" t="s">
        <v>896</v>
      </c>
      <c r="CF107" t="s">
        <v>1717</v>
      </c>
      <c r="CG107" t="str">
        <f>Table_Safety_Targets[[#This Row],[ANSP]]&amp;Table_Safety_Targets[[#This Row],[Safety Area]]</f>
        <v>LPS SRSafety assurance</v>
      </c>
    </row>
    <row r="108" spans="55:85">
      <c r="BC108" t="s">
        <v>12</v>
      </c>
      <c r="BD108" t="s">
        <v>1521</v>
      </c>
      <c r="BE108" t="s">
        <v>956</v>
      </c>
      <c r="BF108" t="s">
        <v>154</v>
      </c>
      <c r="BG108" t="s">
        <v>12</v>
      </c>
      <c r="BH108">
        <v>5.6174765938475257E-2</v>
      </c>
      <c r="BI108">
        <v>0.12</v>
      </c>
      <c r="CC108" t="s">
        <v>6</v>
      </c>
      <c r="CD108" t="s">
        <v>725</v>
      </c>
      <c r="CE108" t="s">
        <v>897</v>
      </c>
      <c r="CF108" t="s">
        <v>1717</v>
      </c>
      <c r="CG108" t="str">
        <f>Table_Safety_Targets[[#This Row],[ANSP]]&amp;Table_Safety_Targets[[#This Row],[Safety Area]]</f>
        <v>LPS SRSafety promotion</v>
      </c>
    </row>
    <row r="109" spans="55:85">
      <c r="BC109" t="s">
        <v>216</v>
      </c>
      <c r="BD109" t="s">
        <v>1511</v>
      </c>
      <c r="BE109" t="s">
        <v>957</v>
      </c>
      <c r="BF109" t="s">
        <v>155</v>
      </c>
      <c r="BG109" t="s">
        <v>844</v>
      </c>
      <c r="BH109">
        <v>0</v>
      </c>
      <c r="BI109">
        <v>0</v>
      </c>
      <c r="CC109" t="s">
        <v>6</v>
      </c>
      <c r="CD109" t="s">
        <v>725</v>
      </c>
      <c r="CE109" t="s">
        <v>898</v>
      </c>
      <c r="CF109" t="s">
        <v>1717</v>
      </c>
      <c r="CG109" t="str">
        <f>Table_Safety_Targets[[#This Row],[ANSP]]&amp;Table_Safety_Targets[[#This Row],[Safety Area]]</f>
        <v>LPS SRSafety culture</v>
      </c>
    </row>
    <row r="110" spans="55:85">
      <c r="BC110" t="s">
        <v>13</v>
      </c>
      <c r="BD110" t="s">
        <v>1512</v>
      </c>
      <c r="BE110" t="s">
        <v>958</v>
      </c>
      <c r="BF110" t="s">
        <v>156</v>
      </c>
      <c r="BG110" t="s">
        <v>845</v>
      </c>
      <c r="BH110">
        <v>1.4079934165874848</v>
      </c>
      <c r="BI110">
        <v>2.2000000000000002</v>
      </c>
      <c r="CC110" t="s">
        <v>51</v>
      </c>
      <c r="CD110" t="s">
        <v>728</v>
      </c>
      <c r="CE110" t="s">
        <v>894</v>
      </c>
      <c r="CF110" t="s">
        <v>1715</v>
      </c>
      <c r="CG110" t="str">
        <f>Table_Safety_Targets[[#This Row],[ANSP]]&amp;Table_Safety_Targets[[#This Row],[Safety Area]]</f>
        <v>NATS NERLSafety policy and objectives</v>
      </c>
    </row>
    <row r="111" spans="55:85">
      <c r="BC111" t="s">
        <v>13</v>
      </c>
      <c r="BD111" t="s">
        <v>1512</v>
      </c>
      <c r="BE111" t="s">
        <v>958</v>
      </c>
      <c r="BF111" t="s">
        <v>157</v>
      </c>
      <c r="BG111" t="s">
        <v>846</v>
      </c>
      <c r="BH111">
        <v>0</v>
      </c>
      <c r="BI111">
        <v>0</v>
      </c>
      <c r="CC111" t="s">
        <v>51</v>
      </c>
      <c r="CD111" t="s">
        <v>728</v>
      </c>
      <c r="CE111" t="s">
        <v>895</v>
      </c>
      <c r="CF111" t="s">
        <v>1718</v>
      </c>
      <c r="CG111" t="str">
        <f>Table_Safety_Targets[[#This Row],[ANSP]]&amp;Table_Safety_Targets[[#This Row],[Safety Area]]</f>
        <v>NATS NERLSafety risk management</v>
      </c>
    </row>
    <row r="112" spans="55:85">
      <c r="BC112" t="s">
        <v>13</v>
      </c>
      <c r="BD112" t="s">
        <v>1512</v>
      </c>
      <c r="BE112" t="s">
        <v>958</v>
      </c>
      <c r="BF112" t="s">
        <v>158</v>
      </c>
      <c r="BG112" t="s">
        <v>847</v>
      </c>
      <c r="BH112">
        <v>5.9157012570865168E-3</v>
      </c>
      <c r="BI112">
        <v>0</v>
      </c>
      <c r="CC112" t="s">
        <v>51</v>
      </c>
      <c r="CD112" t="s">
        <v>728</v>
      </c>
      <c r="CE112" t="s">
        <v>896</v>
      </c>
      <c r="CF112" t="s">
        <v>1715</v>
      </c>
      <c r="CG112" t="str">
        <f>Table_Safety_Targets[[#This Row],[ANSP]]&amp;Table_Safety_Targets[[#This Row],[Safety Area]]</f>
        <v>NATS NERLSafety assurance</v>
      </c>
    </row>
    <row r="113" spans="55:85">
      <c r="BC113" t="s">
        <v>13</v>
      </c>
      <c r="BD113" t="s">
        <v>1512</v>
      </c>
      <c r="BE113" t="s">
        <v>958</v>
      </c>
      <c r="BF113" t="s">
        <v>159</v>
      </c>
      <c r="BG113" t="s">
        <v>848</v>
      </c>
      <c r="BH113">
        <v>0</v>
      </c>
      <c r="BI113">
        <v>0</v>
      </c>
      <c r="CC113" t="s">
        <v>51</v>
      </c>
      <c r="CD113" t="s">
        <v>728</v>
      </c>
      <c r="CE113" t="s">
        <v>897</v>
      </c>
      <c r="CF113" t="s">
        <v>1715</v>
      </c>
      <c r="CG113" t="str">
        <f>Table_Safety_Targets[[#This Row],[ANSP]]&amp;Table_Safety_Targets[[#This Row],[Safety Area]]</f>
        <v>NATS NERLSafety promotion</v>
      </c>
    </row>
    <row r="114" spans="55:85">
      <c r="BC114" t="s">
        <v>42</v>
      </c>
      <c r="BD114" t="s">
        <v>1513</v>
      </c>
      <c r="BE114" t="s">
        <v>959</v>
      </c>
      <c r="BF114" t="s">
        <v>160</v>
      </c>
      <c r="BG114" t="s">
        <v>582</v>
      </c>
      <c r="BH114">
        <v>5.2006331489368646E-2</v>
      </c>
      <c r="BI114">
        <v>0.5</v>
      </c>
      <c r="CC114" t="s">
        <v>51</v>
      </c>
      <c r="CD114" t="s">
        <v>728</v>
      </c>
      <c r="CE114" t="s">
        <v>898</v>
      </c>
      <c r="CF114" t="s">
        <v>1715</v>
      </c>
      <c r="CG114" t="str">
        <f>Table_Safety_Targets[[#This Row],[ANSP]]&amp;Table_Safety_Targets[[#This Row],[Safety Area]]</f>
        <v>NATS NERLSafety culture</v>
      </c>
    </row>
    <row r="115" spans="55:85">
      <c r="BC115" t="s">
        <v>42</v>
      </c>
      <c r="BD115" t="s">
        <v>1513</v>
      </c>
      <c r="BE115" t="s">
        <v>959</v>
      </c>
      <c r="BF115" t="s">
        <v>161</v>
      </c>
      <c r="BG115" t="s">
        <v>621</v>
      </c>
      <c r="BH115">
        <v>1.0757493535927474E-2</v>
      </c>
      <c r="BI115">
        <v>0.5</v>
      </c>
      <c r="CC115" t="s">
        <v>211</v>
      </c>
      <c r="CD115" t="s">
        <v>444</v>
      </c>
      <c r="CE115" t="s">
        <v>894</v>
      </c>
      <c r="CF115" t="s">
        <v>1715</v>
      </c>
      <c r="CG115" t="str">
        <f>Table_Safety_Targets[[#This Row],[ANSP]]&amp;Table_Safety_Targets[[#This Row],[Safety Area]]</f>
        <v>PANSASafety policy and objectives</v>
      </c>
    </row>
    <row r="116" spans="55:85">
      <c r="BC116" t="s">
        <v>42</v>
      </c>
      <c r="BD116" t="s">
        <v>1513</v>
      </c>
      <c r="BE116" t="s">
        <v>959</v>
      </c>
      <c r="BF116" t="s">
        <v>162</v>
      </c>
      <c r="BG116" t="s">
        <v>849</v>
      </c>
      <c r="BH116">
        <v>2.7011738085136471E-2</v>
      </c>
      <c r="BI116">
        <v>0.5</v>
      </c>
      <c r="CC116" t="s">
        <v>211</v>
      </c>
      <c r="CD116" t="s">
        <v>444</v>
      </c>
      <c r="CE116" t="s">
        <v>895</v>
      </c>
      <c r="CF116" t="s">
        <v>1715</v>
      </c>
      <c r="CG116" t="str">
        <f>Table_Safety_Targets[[#This Row],[ANSP]]&amp;Table_Safety_Targets[[#This Row],[Safety Area]]</f>
        <v>PANSASafety risk management</v>
      </c>
    </row>
    <row r="117" spans="55:85">
      <c r="BC117" t="s">
        <v>42</v>
      </c>
      <c r="BD117" t="s">
        <v>1513</v>
      </c>
      <c r="BE117" t="s">
        <v>959</v>
      </c>
      <c r="BF117" t="s">
        <v>163</v>
      </c>
      <c r="BG117" t="s">
        <v>850</v>
      </c>
      <c r="BH117">
        <v>2.6994886431204661E-2</v>
      </c>
      <c r="BI117">
        <v>0.5</v>
      </c>
      <c r="CC117" t="s">
        <v>211</v>
      </c>
      <c r="CD117" t="s">
        <v>444</v>
      </c>
      <c r="CE117" t="s">
        <v>896</v>
      </c>
      <c r="CF117" t="s">
        <v>1715</v>
      </c>
      <c r="CG117" t="str">
        <f>Table_Safety_Targets[[#This Row],[ANSP]]&amp;Table_Safety_Targets[[#This Row],[Safety Area]]</f>
        <v>PANSASafety assurance</v>
      </c>
    </row>
    <row r="118" spans="55:85">
      <c r="BC118" t="s">
        <v>211</v>
      </c>
      <c r="BD118" t="s">
        <v>851</v>
      </c>
      <c r="BE118" t="s">
        <v>1696</v>
      </c>
      <c r="BF118" t="s">
        <v>164</v>
      </c>
      <c r="BG118" t="s">
        <v>852</v>
      </c>
      <c r="BH118">
        <v>3.5720548082462861E-2</v>
      </c>
      <c r="BI118">
        <v>0.95</v>
      </c>
      <c r="CC118" t="s">
        <v>211</v>
      </c>
      <c r="CD118" t="s">
        <v>444</v>
      </c>
      <c r="CE118" t="s">
        <v>897</v>
      </c>
      <c r="CF118" t="s">
        <v>1715</v>
      </c>
      <c r="CG118" t="str">
        <f>Table_Safety_Targets[[#This Row],[ANSP]]&amp;Table_Safety_Targets[[#This Row],[Safety Area]]</f>
        <v>PANSASafety promotion</v>
      </c>
    </row>
    <row r="119" spans="55:85">
      <c r="BC119" t="s">
        <v>211</v>
      </c>
      <c r="BD119" t="s">
        <v>853</v>
      </c>
      <c r="BE119" t="s">
        <v>1697</v>
      </c>
      <c r="BF119" t="s">
        <v>165</v>
      </c>
      <c r="BG119" t="s">
        <v>854</v>
      </c>
      <c r="BH119">
        <v>3.5748578181549598E-2</v>
      </c>
      <c r="BI119">
        <v>0.06</v>
      </c>
      <c r="CC119" t="s">
        <v>211</v>
      </c>
      <c r="CD119" t="s">
        <v>444</v>
      </c>
      <c r="CE119" t="s">
        <v>898</v>
      </c>
      <c r="CF119" t="s">
        <v>1715</v>
      </c>
      <c r="CG119" t="str">
        <f>Table_Safety_Targets[[#This Row],[ANSP]]&amp;Table_Safety_Targets[[#This Row],[Safety Area]]</f>
        <v>PANSASafety culture</v>
      </c>
    </row>
    <row r="120" spans="55:85">
      <c r="BC120" t="s">
        <v>211</v>
      </c>
      <c r="BD120" t="s">
        <v>853</v>
      </c>
      <c r="BE120" t="s">
        <v>1697</v>
      </c>
      <c r="BF120" t="s">
        <v>166</v>
      </c>
      <c r="BG120" t="s">
        <v>855</v>
      </c>
      <c r="BH120">
        <v>0</v>
      </c>
      <c r="BI120">
        <v>0</v>
      </c>
      <c r="CC120" t="s">
        <v>211</v>
      </c>
      <c r="CD120" t="s">
        <v>1721</v>
      </c>
      <c r="CE120" t="s">
        <v>894</v>
      </c>
      <c r="CF120" t="s">
        <v>1715</v>
      </c>
      <c r="CG120" t="str">
        <f>Table_Safety_Targets[[#This Row],[ANSP]]&amp;Table_Safety_Targets[[#This Row],[Safety Area]]</f>
        <v>Warmia i Mazury sp. z o.o.Safety policy and objectives</v>
      </c>
    </row>
    <row r="121" spans="55:85">
      <c r="BC121" t="s">
        <v>211</v>
      </c>
      <c r="BD121" t="s">
        <v>853</v>
      </c>
      <c r="BE121" t="s">
        <v>1697</v>
      </c>
      <c r="BF121" t="s">
        <v>167</v>
      </c>
      <c r="BG121" t="s">
        <v>856</v>
      </c>
      <c r="BH121">
        <v>0</v>
      </c>
      <c r="BI121">
        <v>0.02</v>
      </c>
      <c r="CC121" t="s">
        <v>211</v>
      </c>
      <c r="CD121" t="s">
        <v>1721</v>
      </c>
      <c r="CE121" t="s">
        <v>895</v>
      </c>
      <c r="CF121" t="s">
        <v>1715</v>
      </c>
      <c r="CG121" t="str">
        <f>Table_Safety_Targets[[#This Row],[ANSP]]&amp;Table_Safety_Targets[[#This Row],[Safety Area]]</f>
        <v>Warmia i Mazury sp. z o.o.Safety risk management</v>
      </c>
    </row>
    <row r="122" spans="55:85">
      <c r="BC122" t="s">
        <v>211</v>
      </c>
      <c r="BD122" t="s">
        <v>853</v>
      </c>
      <c r="BE122" t="s">
        <v>1697</v>
      </c>
      <c r="BF122" t="s">
        <v>168</v>
      </c>
      <c r="BG122" t="s">
        <v>857</v>
      </c>
      <c r="BH122">
        <v>0</v>
      </c>
      <c r="BI122">
        <v>0</v>
      </c>
      <c r="CC122" t="s">
        <v>211</v>
      </c>
      <c r="CD122" t="s">
        <v>1721</v>
      </c>
      <c r="CE122" t="s">
        <v>896</v>
      </c>
      <c r="CF122" t="s">
        <v>1715</v>
      </c>
      <c r="CG122" t="str">
        <f>Table_Safety_Targets[[#This Row],[ANSP]]&amp;Table_Safety_Targets[[#This Row],[Safety Area]]</f>
        <v>Warmia i Mazury sp. z o.o.Safety assurance</v>
      </c>
    </row>
    <row r="123" spans="55:85">
      <c r="BC123" t="s">
        <v>211</v>
      </c>
      <c r="BD123" t="s">
        <v>853</v>
      </c>
      <c r="BE123" t="s">
        <v>1697</v>
      </c>
      <c r="BF123" t="s">
        <v>169</v>
      </c>
      <c r="BG123" t="s">
        <v>858</v>
      </c>
      <c r="BH123">
        <v>0</v>
      </c>
      <c r="BI123">
        <v>0.08</v>
      </c>
      <c r="CC123" t="s">
        <v>211</v>
      </c>
      <c r="CD123" t="s">
        <v>1721</v>
      </c>
      <c r="CE123" t="s">
        <v>897</v>
      </c>
      <c r="CF123" t="s">
        <v>1715</v>
      </c>
      <c r="CG123" t="str">
        <f>Table_Safety_Targets[[#This Row],[ANSP]]&amp;Table_Safety_Targets[[#This Row],[Safety Area]]</f>
        <v>Warmia i Mazury sp. z o.o.Safety promotion</v>
      </c>
    </row>
    <row r="124" spans="55:85">
      <c r="BC124" t="s">
        <v>211</v>
      </c>
      <c r="BD124" t="s">
        <v>853</v>
      </c>
      <c r="BE124" t="s">
        <v>1697</v>
      </c>
      <c r="BF124" t="s">
        <v>859</v>
      </c>
      <c r="BG124" t="s">
        <v>860</v>
      </c>
      <c r="BH124">
        <v>0</v>
      </c>
      <c r="BI124">
        <v>0</v>
      </c>
      <c r="CC124" t="s">
        <v>211</v>
      </c>
      <c r="CD124" t="s">
        <v>1721</v>
      </c>
      <c r="CE124" t="s">
        <v>898</v>
      </c>
      <c r="CF124" t="s">
        <v>1715</v>
      </c>
      <c r="CG124" t="str">
        <f>Table_Safety_Targets[[#This Row],[ANSP]]&amp;Table_Safety_Targets[[#This Row],[Safety Area]]</f>
        <v>Warmia i Mazury sp. z o.o.Safety culture</v>
      </c>
    </row>
    <row r="125" spans="55:85">
      <c r="BC125" t="s">
        <v>211</v>
      </c>
      <c r="BD125" t="s">
        <v>853</v>
      </c>
      <c r="BE125" t="s">
        <v>1697</v>
      </c>
      <c r="BF125" t="s">
        <v>171</v>
      </c>
      <c r="BG125" t="s">
        <v>861</v>
      </c>
      <c r="BH125">
        <v>0</v>
      </c>
      <c r="BI125">
        <v>0</v>
      </c>
      <c r="CC125" t="s">
        <v>211</v>
      </c>
      <c r="CD125" t="s">
        <v>1722</v>
      </c>
      <c r="CE125" t="s">
        <v>894</v>
      </c>
      <c r="CF125" t="s">
        <v>1715</v>
      </c>
      <c r="CG125" t="str">
        <f>Table_Safety_Targets[[#This Row],[ANSP]]&amp;Table_Safety_Targets[[#This Row],[Safety Area]]</f>
        <v>Port Lotniczy Bydgoszcz S.A.Safety policy and objectives</v>
      </c>
    </row>
    <row r="126" spans="55:85">
      <c r="BC126" t="s">
        <v>211</v>
      </c>
      <c r="BD126" t="s">
        <v>853</v>
      </c>
      <c r="BE126" t="s">
        <v>1697</v>
      </c>
      <c r="BF126" t="s">
        <v>170</v>
      </c>
      <c r="BG126" t="s">
        <v>862</v>
      </c>
      <c r="BH126">
        <v>0</v>
      </c>
      <c r="BI126">
        <v>0</v>
      </c>
      <c r="CC126" t="s">
        <v>211</v>
      </c>
      <c r="CD126" t="s">
        <v>1722</v>
      </c>
      <c r="CE126" t="s">
        <v>895</v>
      </c>
      <c r="CF126" t="s">
        <v>1715</v>
      </c>
      <c r="CG126" t="str">
        <f>Table_Safety_Targets[[#This Row],[ANSP]]&amp;Table_Safety_Targets[[#This Row],[Safety Area]]</f>
        <v>Port Lotniczy Bydgoszcz S.A.Safety risk management</v>
      </c>
    </row>
    <row r="127" spans="55:85">
      <c r="BC127" t="s">
        <v>211</v>
      </c>
      <c r="BD127" t="s">
        <v>853</v>
      </c>
      <c r="BE127" t="s">
        <v>1697</v>
      </c>
      <c r="BF127" t="s">
        <v>174</v>
      </c>
      <c r="BG127" t="s">
        <v>863</v>
      </c>
      <c r="BH127">
        <v>1.0611303344867359E-2</v>
      </c>
      <c r="BI127">
        <v>0.24</v>
      </c>
      <c r="CC127" t="s">
        <v>211</v>
      </c>
      <c r="CD127" t="s">
        <v>1722</v>
      </c>
      <c r="CE127" t="s">
        <v>896</v>
      </c>
      <c r="CF127" t="s">
        <v>1715</v>
      </c>
      <c r="CG127" t="str">
        <f>Table_Safety_Targets[[#This Row],[ANSP]]&amp;Table_Safety_Targets[[#This Row],[Safety Area]]</f>
        <v>Port Lotniczy Bydgoszcz S.A.Safety assurance</v>
      </c>
    </row>
    <row r="128" spans="55:85">
      <c r="BC128" t="s">
        <v>211</v>
      </c>
      <c r="BD128" t="s">
        <v>853</v>
      </c>
      <c r="BE128" t="s">
        <v>1697</v>
      </c>
      <c r="BF128" t="s">
        <v>172</v>
      </c>
      <c r="BG128" t="s">
        <v>864</v>
      </c>
      <c r="BH128">
        <v>0</v>
      </c>
      <c r="BI128">
        <v>0</v>
      </c>
      <c r="CC128" t="s">
        <v>211</v>
      </c>
      <c r="CD128" t="s">
        <v>1722</v>
      </c>
      <c r="CE128" t="s">
        <v>897</v>
      </c>
      <c r="CF128" t="s">
        <v>1715</v>
      </c>
      <c r="CG128" t="str">
        <f>Table_Safety_Targets[[#This Row],[ANSP]]&amp;Table_Safety_Targets[[#This Row],[Safety Area]]</f>
        <v>Port Lotniczy Bydgoszcz S.A.Safety promotion</v>
      </c>
    </row>
    <row r="129" spans="55:85">
      <c r="BC129" t="s">
        <v>211</v>
      </c>
      <c r="BD129" t="s">
        <v>853</v>
      </c>
      <c r="BE129" t="s">
        <v>1697</v>
      </c>
      <c r="BF129" t="s">
        <v>202</v>
      </c>
      <c r="BG129" t="s">
        <v>865</v>
      </c>
      <c r="BH129">
        <v>0</v>
      </c>
      <c r="BI129">
        <v>0</v>
      </c>
      <c r="CC129" t="s">
        <v>211</v>
      </c>
      <c r="CD129" t="s">
        <v>1722</v>
      </c>
      <c r="CE129" t="s">
        <v>898</v>
      </c>
      <c r="CF129" t="s">
        <v>1715</v>
      </c>
      <c r="CG129" t="str">
        <f>Table_Safety_Targets[[#This Row],[ANSP]]&amp;Table_Safety_Targets[[#This Row],[Safety Area]]</f>
        <v>Port Lotniczy Bydgoszcz S.A.Safety culture</v>
      </c>
    </row>
    <row r="130" spans="55:85">
      <c r="BC130" t="s">
        <v>211</v>
      </c>
      <c r="BD130" t="s">
        <v>853</v>
      </c>
      <c r="BE130" t="s">
        <v>1697</v>
      </c>
      <c r="BF130" t="s">
        <v>173</v>
      </c>
      <c r="BG130" t="s">
        <v>866</v>
      </c>
      <c r="BH130">
        <v>0</v>
      </c>
      <c r="BI130">
        <v>0</v>
      </c>
      <c r="CC130" t="s">
        <v>16</v>
      </c>
      <c r="CD130" t="s">
        <v>432</v>
      </c>
      <c r="CE130" t="s">
        <v>894</v>
      </c>
      <c r="CF130" t="s">
        <v>1715</v>
      </c>
      <c r="CG130" t="str">
        <f>Table_Safety_Targets[[#This Row],[ANSP]]&amp;Table_Safety_Targets[[#This Row],[Safety Area]]</f>
        <v>EANSSafety policy and objectives</v>
      </c>
    </row>
    <row r="131" spans="55:85">
      <c r="BC131" t="s">
        <v>211</v>
      </c>
      <c r="BD131" t="s">
        <v>853</v>
      </c>
      <c r="BE131" t="s">
        <v>1697</v>
      </c>
      <c r="BF131" t="s">
        <v>867</v>
      </c>
      <c r="BG131" t="s">
        <v>868</v>
      </c>
      <c r="BH131">
        <v>0</v>
      </c>
      <c r="BI131">
        <v>0</v>
      </c>
      <c r="CC131" t="s">
        <v>16</v>
      </c>
      <c r="CD131" t="s">
        <v>432</v>
      </c>
      <c r="CE131" t="s">
        <v>895</v>
      </c>
      <c r="CF131" t="s">
        <v>1715</v>
      </c>
      <c r="CG131" t="str">
        <f>Table_Safety_Targets[[#This Row],[ANSP]]&amp;Table_Safety_Targets[[#This Row],[Safety Area]]</f>
        <v>EANSSafety risk management</v>
      </c>
    </row>
    <row r="132" spans="55:85">
      <c r="BC132" t="s">
        <v>211</v>
      </c>
      <c r="BD132" t="s">
        <v>853</v>
      </c>
      <c r="BE132" t="s">
        <v>1697</v>
      </c>
      <c r="BF132" t="s">
        <v>869</v>
      </c>
      <c r="BG132" t="s">
        <v>870</v>
      </c>
      <c r="BH132">
        <v>0</v>
      </c>
      <c r="BI132">
        <v>0</v>
      </c>
      <c r="CC132" t="s">
        <v>16</v>
      </c>
      <c r="CD132" t="s">
        <v>432</v>
      </c>
      <c r="CE132" t="s">
        <v>896</v>
      </c>
      <c r="CF132" t="s">
        <v>1715</v>
      </c>
      <c r="CG132" t="str">
        <f>Table_Safety_Targets[[#This Row],[ANSP]]&amp;Table_Safety_Targets[[#This Row],[Safety Area]]</f>
        <v>EANSSafety assurance</v>
      </c>
    </row>
    <row r="133" spans="55:85">
      <c r="BC133" t="s">
        <v>45</v>
      </c>
      <c r="BD133" t="s">
        <v>1514</v>
      </c>
      <c r="BE133" t="s">
        <v>954</v>
      </c>
      <c r="BF133" t="s">
        <v>175</v>
      </c>
      <c r="BG133" t="s">
        <v>589</v>
      </c>
      <c r="BH133">
        <v>1.7229385778036912</v>
      </c>
      <c r="BI133">
        <v>5.060034812145572</v>
      </c>
      <c r="CC133" t="s">
        <v>16</v>
      </c>
      <c r="CD133" t="s">
        <v>432</v>
      </c>
      <c r="CE133" t="s">
        <v>897</v>
      </c>
      <c r="CF133" t="s">
        <v>1715</v>
      </c>
      <c r="CG133" t="str">
        <f>Table_Safety_Targets[[#This Row],[ANSP]]&amp;Table_Safety_Targets[[#This Row],[Safety Area]]</f>
        <v>EANSSafety promotion</v>
      </c>
    </row>
    <row r="134" spans="55:85">
      <c r="BC134" t="s">
        <v>45</v>
      </c>
      <c r="BD134" t="s">
        <v>1514</v>
      </c>
      <c r="BE134" t="s">
        <v>954</v>
      </c>
      <c r="BF134" t="s">
        <v>176</v>
      </c>
      <c r="BG134" t="s">
        <v>871</v>
      </c>
      <c r="BH134">
        <v>0.77218103964270912</v>
      </c>
      <c r="BI134">
        <v>2.4798344198398046</v>
      </c>
      <c r="CC134" t="s">
        <v>16</v>
      </c>
      <c r="CD134" t="s">
        <v>432</v>
      </c>
      <c r="CE134" t="s">
        <v>898</v>
      </c>
      <c r="CF134" t="s">
        <v>1715</v>
      </c>
      <c r="CG134" t="str">
        <f>Table_Safety_Targets[[#This Row],[ANSP]]&amp;Table_Safety_Targets[[#This Row],[Safety Area]]</f>
        <v>EANSSafety culture</v>
      </c>
    </row>
    <row r="135" spans="55:85">
      <c r="BC135" t="s">
        <v>45</v>
      </c>
      <c r="BD135" t="s">
        <v>1514</v>
      </c>
      <c r="BE135" t="s">
        <v>954</v>
      </c>
      <c r="BF135" t="s">
        <v>177</v>
      </c>
      <c r="BG135" t="s">
        <v>872</v>
      </c>
      <c r="BH135">
        <v>0</v>
      </c>
      <c r="BI135">
        <v>9.758674197753088E-2</v>
      </c>
      <c r="CC135" t="s">
        <v>9</v>
      </c>
      <c r="CD135" t="s">
        <v>454</v>
      </c>
      <c r="CE135" t="s">
        <v>894</v>
      </c>
      <c r="CF135" t="s">
        <v>227</v>
      </c>
      <c r="CG135" t="str">
        <f>Table_Safety_Targets[[#This Row],[ANSP]]&amp;Table_Safety_Targets[[#This Row],[Safety Area]]</f>
        <v>skeyesSafety policy and objectives</v>
      </c>
    </row>
    <row r="136" spans="55:85">
      <c r="BC136" t="s">
        <v>45</v>
      </c>
      <c r="BD136" t="s">
        <v>1514</v>
      </c>
      <c r="BE136" t="s">
        <v>954</v>
      </c>
      <c r="BF136" t="s">
        <v>178</v>
      </c>
      <c r="BG136" t="s">
        <v>873</v>
      </c>
      <c r="BH136">
        <v>0</v>
      </c>
      <c r="BI136">
        <v>2.7971303308090872E-2</v>
      </c>
      <c r="CC136" t="s">
        <v>9</v>
      </c>
      <c r="CD136" t="s">
        <v>454</v>
      </c>
      <c r="CE136" t="s">
        <v>895</v>
      </c>
      <c r="CF136" t="s">
        <v>227</v>
      </c>
      <c r="CG136" t="str">
        <f>Table_Safety_Targets[[#This Row],[ANSP]]&amp;Table_Safety_Targets[[#This Row],[Safety Area]]</f>
        <v>skeyesSafety risk management</v>
      </c>
    </row>
    <row r="137" spans="55:85">
      <c r="BC137" t="s">
        <v>45</v>
      </c>
      <c r="BD137" t="s">
        <v>1514</v>
      </c>
      <c r="BE137" t="s">
        <v>954</v>
      </c>
      <c r="BF137" t="s">
        <v>179</v>
      </c>
      <c r="BG137" t="s">
        <v>874</v>
      </c>
      <c r="BH137">
        <v>0</v>
      </c>
      <c r="BI137">
        <v>0.02</v>
      </c>
      <c r="CC137" t="s">
        <v>9</v>
      </c>
      <c r="CD137" t="s">
        <v>454</v>
      </c>
      <c r="CE137" t="s">
        <v>896</v>
      </c>
      <c r="CF137" t="s">
        <v>227</v>
      </c>
      <c r="CG137" t="str">
        <f>Table_Safety_Targets[[#This Row],[ANSP]]&amp;Table_Safety_Targets[[#This Row],[Safety Area]]</f>
        <v>skeyesSafety assurance</v>
      </c>
    </row>
    <row r="138" spans="55:85">
      <c r="BC138" t="s">
        <v>45</v>
      </c>
      <c r="BD138" t="s">
        <v>1514</v>
      </c>
      <c r="BE138" t="s">
        <v>954</v>
      </c>
      <c r="BF138" t="s">
        <v>180</v>
      </c>
      <c r="BG138" t="s">
        <v>875</v>
      </c>
      <c r="BH138">
        <v>0</v>
      </c>
      <c r="BI138">
        <v>0.02</v>
      </c>
      <c r="CC138" t="s">
        <v>9</v>
      </c>
      <c r="CD138" t="s">
        <v>454</v>
      </c>
      <c r="CE138" t="s">
        <v>897</v>
      </c>
      <c r="CF138" t="s">
        <v>227</v>
      </c>
      <c r="CG138" t="str">
        <f>Table_Safety_Targets[[#This Row],[ANSP]]&amp;Table_Safety_Targets[[#This Row],[Safety Area]]</f>
        <v>skeyesSafety promotion</v>
      </c>
    </row>
    <row r="139" spans="55:85">
      <c r="BC139" t="s">
        <v>45</v>
      </c>
      <c r="BD139" t="s">
        <v>1514</v>
      </c>
      <c r="BE139" t="s">
        <v>954</v>
      </c>
      <c r="BF139" t="s">
        <v>181</v>
      </c>
      <c r="BG139" t="s">
        <v>876</v>
      </c>
      <c r="BH139">
        <v>0</v>
      </c>
      <c r="BI139">
        <v>0.02</v>
      </c>
      <c r="CC139" t="s">
        <v>9</v>
      </c>
      <c r="CD139" t="s">
        <v>454</v>
      </c>
      <c r="CE139" t="s">
        <v>898</v>
      </c>
      <c r="CF139" t="s">
        <v>227</v>
      </c>
      <c r="CG139" t="str">
        <f>Table_Safety_Targets[[#This Row],[ANSP]]&amp;Table_Safety_Targets[[#This Row],[Safety Area]]</f>
        <v>skeyesSafety culture</v>
      </c>
    </row>
    <row r="140" spans="55:85">
      <c r="BC140" t="s">
        <v>45</v>
      </c>
      <c r="BD140" t="s">
        <v>1514</v>
      </c>
      <c r="BE140" t="s">
        <v>954</v>
      </c>
      <c r="BF140" t="s">
        <v>182</v>
      </c>
      <c r="BG140" t="s">
        <v>877</v>
      </c>
      <c r="BH140">
        <v>0</v>
      </c>
      <c r="BI140">
        <v>2.0400000000000001E-2</v>
      </c>
      <c r="CC140" t="s">
        <v>10</v>
      </c>
      <c r="CD140" t="s">
        <v>431</v>
      </c>
      <c r="CE140" t="s">
        <v>894</v>
      </c>
      <c r="CF140" t="s">
        <v>227</v>
      </c>
      <c r="CG140" t="str">
        <f>Table_Safety_Targets[[#This Row],[ANSP]]&amp;Table_Safety_Targets[[#This Row],[Safety Area]]</f>
        <v>DSNASafety policy and objectives</v>
      </c>
    </row>
    <row r="141" spans="55:85">
      <c r="BC141" t="s">
        <v>45</v>
      </c>
      <c r="BD141" t="s">
        <v>1514</v>
      </c>
      <c r="BE141" t="s">
        <v>954</v>
      </c>
      <c r="BF141" t="s">
        <v>183</v>
      </c>
      <c r="BG141" t="s">
        <v>878</v>
      </c>
      <c r="BH141">
        <v>0</v>
      </c>
      <c r="BI141">
        <v>0.02</v>
      </c>
      <c r="CC141" t="s">
        <v>10</v>
      </c>
      <c r="CD141" t="s">
        <v>431</v>
      </c>
      <c r="CE141" t="s">
        <v>895</v>
      </c>
      <c r="CF141" t="s">
        <v>227</v>
      </c>
      <c r="CG141" t="str">
        <f>Table_Safety_Targets[[#This Row],[ANSP]]&amp;Table_Safety_Targets[[#This Row],[Safety Area]]</f>
        <v>DSNASafety risk management</v>
      </c>
    </row>
    <row r="142" spans="55:85">
      <c r="BC142" t="s">
        <v>45</v>
      </c>
      <c r="BD142" t="s">
        <v>1514</v>
      </c>
      <c r="BE142" t="s">
        <v>954</v>
      </c>
      <c r="BF142" t="s">
        <v>879</v>
      </c>
      <c r="BG142" t="s">
        <v>880</v>
      </c>
      <c r="BH142">
        <v>0</v>
      </c>
      <c r="BI142">
        <v>0.02</v>
      </c>
      <c r="CC142" t="s">
        <v>10</v>
      </c>
      <c r="CD142" t="s">
        <v>431</v>
      </c>
      <c r="CE142" t="s">
        <v>896</v>
      </c>
      <c r="CF142" t="s">
        <v>227</v>
      </c>
      <c r="CG142" t="str">
        <f>Table_Safety_Targets[[#This Row],[ANSP]]&amp;Table_Safety_Targets[[#This Row],[Safety Area]]</f>
        <v>DSNASafety assurance</v>
      </c>
    </row>
    <row r="143" spans="55:85">
      <c r="BC143" t="s">
        <v>45</v>
      </c>
      <c r="BD143" t="s">
        <v>1514</v>
      </c>
      <c r="BE143" t="s">
        <v>954</v>
      </c>
      <c r="BF143" t="s">
        <v>1544</v>
      </c>
      <c r="BG143" t="s">
        <v>1545</v>
      </c>
      <c r="BH143">
        <v>0</v>
      </c>
      <c r="BI143">
        <v>0</v>
      </c>
      <c r="CC143" t="s">
        <v>10</v>
      </c>
      <c r="CD143" t="s">
        <v>431</v>
      </c>
      <c r="CE143" t="s">
        <v>897</v>
      </c>
      <c r="CF143" t="s">
        <v>227</v>
      </c>
      <c r="CG143" t="str">
        <f>Table_Safety_Targets[[#This Row],[ANSP]]&amp;Table_Safety_Targets[[#This Row],[Safety Area]]</f>
        <v>DSNASafety promotion</v>
      </c>
    </row>
    <row r="144" spans="55:85">
      <c r="BC144" t="s">
        <v>219</v>
      </c>
      <c r="BD144" t="s">
        <v>1515</v>
      </c>
      <c r="BE144" t="s">
        <v>960</v>
      </c>
      <c r="BF144" t="s">
        <v>184</v>
      </c>
      <c r="BG144" t="s">
        <v>881</v>
      </c>
      <c r="BH144">
        <v>1.6613862916312495E-3</v>
      </c>
      <c r="BI144">
        <v>0.51</v>
      </c>
      <c r="CC144" t="s">
        <v>10</v>
      </c>
      <c r="CD144" t="s">
        <v>431</v>
      </c>
      <c r="CE144" t="s">
        <v>898</v>
      </c>
      <c r="CF144" t="s">
        <v>227</v>
      </c>
      <c r="CG144" t="str">
        <f>Table_Safety_Targets[[#This Row],[ANSP]]&amp;Table_Safety_Targets[[#This Row],[Safety Area]]</f>
        <v>DSNASafety culture</v>
      </c>
    </row>
    <row r="145" spans="55:85">
      <c r="BC145" t="s">
        <v>219</v>
      </c>
      <c r="BD145" t="s">
        <v>1515</v>
      </c>
      <c r="BE145" t="s">
        <v>960</v>
      </c>
      <c r="BF145" t="s">
        <v>203</v>
      </c>
      <c r="BG145" t="s">
        <v>882</v>
      </c>
      <c r="BH145">
        <v>0</v>
      </c>
      <c r="BI145">
        <v>0</v>
      </c>
      <c r="CC145" t="s">
        <v>11</v>
      </c>
      <c r="CD145" t="s">
        <v>430</v>
      </c>
      <c r="CE145" t="s">
        <v>894</v>
      </c>
      <c r="CF145" t="s">
        <v>227</v>
      </c>
      <c r="CG145" t="str">
        <f>Table_Safety_Targets[[#This Row],[ANSP]]&amp;Table_Safety_Targets[[#This Row],[Safety Area]]</f>
        <v>DFSSafety policy and objectives</v>
      </c>
    </row>
    <row r="146" spans="55:85">
      <c r="BC146" t="s">
        <v>47</v>
      </c>
      <c r="BD146" t="s">
        <v>1518</v>
      </c>
      <c r="BE146" t="s">
        <v>963</v>
      </c>
      <c r="BF146" t="s">
        <v>185</v>
      </c>
      <c r="BG146" t="s">
        <v>576</v>
      </c>
      <c r="BH146">
        <v>0.49335925237255801</v>
      </c>
      <c r="BI146">
        <v>0.7</v>
      </c>
      <c r="CC146" t="s">
        <v>11</v>
      </c>
      <c r="CD146" t="s">
        <v>430</v>
      </c>
      <c r="CE146" t="s">
        <v>895</v>
      </c>
      <c r="CF146" t="s">
        <v>227</v>
      </c>
      <c r="CG146" t="str">
        <f>Table_Safety_Targets[[#This Row],[ANSP]]&amp;Table_Safety_Targets[[#This Row],[Safety Area]]</f>
        <v>DFSSafety risk management</v>
      </c>
    </row>
    <row r="147" spans="55:85">
      <c r="BC147" t="s">
        <v>47</v>
      </c>
      <c r="BD147" t="s">
        <v>1518</v>
      </c>
      <c r="BE147" t="s">
        <v>963</v>
      </c>
      <c r="BF147" t="s">
        <v>186</v>
      </c>
      <c r="BG147" t="s">
        <v>577</v>
      </c>
      <c r="BH147">
        <v>0.12074818828752366</v>
      </c>
      <c r="BI147">
        <v>1.68</v>
      </c>
      <c r="CC147" t="s">
        <v>11</v>
      </c>
      <c r="CD147" t="s">
        <v>430</v>
      </c>
      <c r="CE147" t="s">
        <v>896</v>
      </c>
      <c r="CF147" t="s">
        <v>227</v>
      </c>
      <c r="CG147" t="str">
        <f>Table_Safety_Targets[[#This Row],[ANSP]]&amp;Table_Safety_Targets[[#This Row],[Safety Area]]</f>
        <v>DFSSafety assurance</v>
      </c>
    </row>
    <row r="148" spans="55:85">
      <c r="BC148" t="s">
        <v>47</v>
      </c>
      <c r="BD148" t="s">
        <v>1518</v>
      </c>
      <c r="BE148" t="s">
        <v>963</v>
      </c>
      <c r="BF148" t="s">
        <v>187</v>
      </c>
      <c r="BG148" t="s">
        <v>884</v>
      </c>
      <c r="BH148">
        <v>5.139270302079247E-2</v>
      </c>
      <c r="BI148">
        <v>1.4</v>
      </c>
      <c r="CC148" t="s">
        <v>11</v>
      </c>
      <c r="CD148" t="s">
        <v>430</v>
      </c>
      <c r="CE148" t="s">
        <v>897</v>
      </c>
      <c r="CF148" t="s">
        <v>227</v>
      </c>
      <c r="CG148" t="str">
        <f>Table_Safety_Targets[[#This Row],[ANSP]]&amp;Table_Safety_Targets[[#This Row],[Safety Area]]</f>
        <v>DFSSafety promotion</v>
      </c>
    </row>
    <row r="149" spans="55:85">
      <c r="BC149" t="s">
        <v>47</v>
      </c>
      <c r="BD149" t="s">
        <v>1518</v>
      </c>
      <c r="BE149" t="s">
        <v>963</v>
      </c>
      <c r="BF149" t="s">
        <v>626</v>
      </c>
      <c r="BG149" t="s">
        <v>627</v>
      </c>
      <c r="BH149">
        <v>0</v>
      </c>
      <c r="BI149">
        <v>0.54</v>
      </c>
      <c r="CC149" t="s">
        <v>11</v>
      </c>
      <c r="CD149" t="s">
        <v>430</v>
      </c>
      <c r="CE149" t="s">
        <v>898</v>
      </c>
      <c r="CF149" t="s">
        <v>227</v>
      </c>
      <c r="CG149" t="str">
        <f>Table_Safety_Targets[[#This Row],[ANSP]]&amp;Table_Safety_Targets[[#This Row],[Safety Area]]</f>
        <v>DFSSafety culture</v>
      </c>
    </row>
    <row r="150" spans="55:85">
      <c r="BC150" t="s">
        <v>47</v>
      </c>
      <c r="BD150" t="s">
        <v>1518</v>
      </c>
      <c r="BE150" t="s">
        <v>963</v>
      </c>
      <c r="BF150" t="s">
        <v>615</v>
      </c>
      <c r="BG150" t="s">
        <v>616</v>
      </c>
      <c r="BH150">
        <v>1.7889957842395415E-2</v>
      </c>
      <c r="BI150">
        <v>0.06</v>
      </c>
      <c r="CC150" t="s">
        <v>12</v>
      </c>
      <c r="CD150" t="s">
        <v>424</v>
      </c>
      <c r="CE150" t="s">
        <v>894</v>
      </c>
      <c r="CF150" t="s">
        <v>227</v>
      </c>
      <c r="CG150" t="str">
        <f>Table_Safety_Targets[[#This Row],[ANSP]]&amp;Table_Safety_Targets[[#This Row],[Safety Area]]</f>
        <v>ANA LUXSafety policy and objectives</v>
      </c>
    </row>
    <row r="151" spans="55:85">
      <c r="BC151" t="s">
        <v>47</v>
      </c>
      <c r="BD151" t="s">
        <v>1518</v>
      </c>
      <c r="BE151" t="s">
        <v>963</v>
      </c>
      <c r="BF151" t="s">
        <v>188</v>
      </c>
      <c r="BG151" t="s">
        <v>602</v>
      </c>
      <c r="BH151">
        <v>1.414198269190178E-2</v>
      </c>
      <c r="BI151">
        <v>0.12</v>
      </c>
      <c r="CC151" t="s">
        <v>12</v>
      </c>
      <c r="CD151" t="s">
        <v>424</v>
      </c>
      <c r="CE151" t="s">
        <v>895</v>
      </c>
      <c r="CF151" t="s">
        <v>227</v>
      </c>
      <c r="CG151" t="str">
        <f>Table_Safety_Targets[[#This Row],[ANSP]]&amp;Table_Safety_Targets[[#This Row],[Safety Area]]</f>
        <v>ANA LUXSafety risk management</v>
      </c>
    </row>
    <row r="152" spans="55:85">
      <c r="BC152" t="s">
        <v>47</v>
      </c>
      <c r="BD152" t="s">
        <v>1518</v>
      </c>
      <c r="BE152" t="s">
        <v>963</v>
      </c>
      <c r="BF152" t="s">
        <v>189</v>
      </c>
      <c r="BG152" t="s">
        <v>606</v>
      </c>
      <c r="BH152">
        <v>0.9727197321126847</v>
      </c>
      <c r="BI152">
        <v>0.34</v>
      </c>
      <c r="CC152" t="s">
        <v>12</v>
      </c>
      <c r="CD152" t="s">
        <v>424</v>
      </c>
      <c r="CE152" t="s">
        <v>896</v>
      </c>
      <c r="CF152" t="s">
        <v>227</v>
      </c>
      <c r="CG152" t="str">
        <f>Table_Safety_Targets[[#This Row],[ANSP]]&amp;Table_Safety_Targets[[#This Row],[Safety Area]]</f>
        <v>ANA LUXSafety assurance</v>
      </c>
    </row>
    <row r="153" spans="55:85">
      <c r="BC153" t="s">
        <v>0</v>
      </c>
      <c r="BD153" t="s">
        <v>1519</v>
      </c>
      <c r="BE153" t="s">
        <v>964</v>
      </c>
      <c r="BF153" t="s">
        <v>190</v>
      </c>
      <c r="BG153" t="s">
        <v>584</v>
      </c>
      <c r="BH153">
        <v>4.7191742607401894E-3</v>
      </c>
      <c r="BI153">
        <v>0.35</v>
      </c>
      <c r="CC153" t="s">
        <v>12</v>
      </c>
      <c r="CD153" t="s">
        <v>424</v>
      </c>
      <c r="CE153" t="s">
        <v>897</v>
      </c>
      <c r="CF153" t="s">
        <v>227</v>
      </c>
      <c r="CG153" t="str">
        <f>Table_Safety_Targets[[#This Row],[ANSP]]&amp;Table_Safety_Targets[[#This Row],[Safety Area]]</f>
        <v>ANA LUXSafety promotion</v>
      </c>
    </row>
    <row r="154" spans="55:85">
      <c r="BC154" t="s">
        <v>14</v>
      </c>
      <c r="BD154" t="s">
        <v>1520</v>
      </c>
      <c r="BE154" t="s">
        <v>965</v>
      </c>
      <c r="BF154" t="s">
        <v>192</v>
      </c>
      <c r="BG154" t="s">
        <v>580</v>
      </c>
      <c r="BH154">
        <v>0.60437390842129246</v>
      </c>
      <c r="BI154">
        <v>2.14</v>
      </c>
      <c r="CC154" t="s">
        <v>12</v>
      </c>
      <c r="CD154" t="s">
        <v>424</v>
      </c>
      <c r="CE154" t="s">
        <v>898</v>
      </c>
      <c r="CF154" t="s">
        <v>227</v>
      </c>
      <c r="CG154" t="str">
        <f>Table_Safety_Targets[[#This Row],[ANSP]]&amp;Table_Safety_Targets[[#This Row],[Safety Area]]</f>
        <v>ANA LUXSafety culture</v>
      </c>
    </row>
    <row r="155" spans="55:85">
      <c r="BC155" t="s">
        <v>14</v>
      </c>
      <c r="BD155" t="s">
        <v>1520</v>
      </c>
      <c r="BE155" t="s">
        <v>965</v>
      </c>
      <c r="BF155" t="s">
        <v>193</v>
      </c>
      <c r="BG155" t="s">
        <v>597</v>
      </c>
      <c r="BH155">
        <v>0.4857222844344905</v>
      </c>
      <c r="BI155">
        <v>1.37</v>
      </c>
      <c r="CC155" t="s">
        <v>13</v>
      </c>
      <c r="CD155" t="s">
        <v>439</v>
      </c>
      <c r="CE155" t="s">
        <v>894</v>
      </c>
      <c r="CF155" t="s">
        <v>227</v>
      </c>
      <c r="CG155" t="str">
        <f>Table_Safety_Targets[[#This Row],[ANSP]]&amp;Table_Safety_Targets[[#This Row],[Safety Area]]</f>
        <v>LVNLSafety policy and objectives</v>
      </c>
    </row>
    <row r="156" spans="55:85">
      <c r="BC156" t="s">
        <v>51</v>
      </c>
      <c r="BD156" t="s">
        <v>885</v>
      </c>
      <c r="BE156" t="s">
        <v>966</v>
      </c>
      <c r="BF156" t="s">
        <v>198</v>
      </c>
      <c r="BG156" t="s">
        <v>886</v>
      </c>
      <c r="BH156" t="s">
        <v>892</v>
      </c>
      <c r="BI156">
        <v>1.93</v>
      </c>
      <c r="CC156" t="s">
        <v>13</v>
      </c>
      <c r="CD156" t="s">
        <v>439</v>
      </c>
      <c r="CE156" t="s">
        <v>895</v>
      </c>
      <c r="CF156" t="s">
        <v>227</v>
      </c>
      <c r="CG156" t="str">
        <f>Table_Safety_Targets[[#This Row],[ANSP]]&amp;Table_Safety_Targets[[#This Row],[Safety Area]]</f>
        <v>LVNLSafety risk management</v>
      </c>
    </row>
    <row r="157" spans="55:85">
      <c r="BC157" t="s">
        <v>51</v>
      </c>
      <c r="BD157" t="s">
        <v>885</v>
      </c>
      <c r="BE157" t="s">
        <v>966</v>
      </c>
      <c r="BF157" t="s">
        <v>199</v>
      </c>
      <c r="BG157" t="s">
        <v>887</v>
      </c>
      <c r="BH157" t="s">
        <v>892</v>
      </c>
      <c r="BI157">
        <v>2.04</v>
      </c>
      <c r="CC157" t="s">
        <v>13</v>
      </c>
      <c r="CD157" t="s">
        <v>439</v>
      </c>
      <c r="CE157" t="s">
        <v>896</v>
      </c>
      <c r="CF157" t="s">
        <v>227</v>
      </c>
      <c r="CG157" t="str">
        <f>Table_Safety_Targets[[#This Row],[ANSP]]&amp;Table_Safety_Targets[[#This Row],[Safety Area]]</f>
        <v>LVNLSafety assurance</v>
      </c>
    </row>
    <row r="158" spans="55:85">
      <c r="BC158" t="s">
        <v>51</v>
      </c>
      <c r="BD158" t="s">
        <v>885</v>
      </c>
      <c r="BE158" t="s">
        <v>966</v>
      </c>
      <c r="BF158" t="s">
        <v>200</v>
      </c>
      <c r="BG158" t="s">
        <v>591</v>
      </c>
      <c r="BH158" t="s">
        <v>892</v>
      </c>
      <c r="BI158">
        <v>0.22</v>
      </c>
      <c r="CC158" t="s">
        <v>13</v>
      </c>
      <c r="CD158" t="s">
        <v>439</v>
      </c>
      <c r="CE158" t="s">
        <v>897</v>
      </c>
      <c r="CF158" t="s">
        <v>227</v>
      </c>
      <c r="CG158" t="str">
        <f>Table_Safety_Targets[[#This Row],[ANSP]]&amp;Table_Safety_Targets[[#This Row],[Safety Area]]</f>
        <v>LVNLSafety promotion</v>
      </c>
    </row>
    <row r="159" spans="55:85">
      <c r="BC159" t="s">
        <v>51</v>
      </c>
      <c r="BD159" t="s">
        <v>885</v>
      </c>
      <c r="BE159" t="s">
        <v>966</v>
      </c>
      <c r="BF159" t="s">
        <v>201</v>
      </c>
      <c r="BG159" t="s">
        <v>888</v>
      </c>
      <c r="BH159" t="s">
        <v>892</v>
      </c>
      <c r="BI159">
        <v>0.72</v>
      </c>
      <c r="CC159" t="s">
        <v>13</v>
      </c>
      <c r="CD159" t="s">
        <v>439</v>
      </c>
      <c r="CE159" t="s">
        <v>898</v>
      </c>
      <c r="CF159" t="s">
        <v>227</v>
      </c>
      <c r="CG159" t="str">
        <f>Table_Safety_Targets[[#This Row],[ANSP]]&amp;Table_Safety_Targets[[#This Row],[Safety Area]]</f>
        <v>LVNLSafety culture</v>
      </c>
    </row>
    <row r="160" spans="55:85">
      <c r="BC160" t="s">
        <v>51</v>
      </c>
      <c r="BD160" t="s">
        <v>885</v>
      </c>
      <c r="BE160" t="s">
        <v>966</v>
      </c>
      <c r="BF160" t="s">
        <v>194</v>
      </c>
      <c r="BG160" t="s">
        <v>604</v>
      </c>
      <c r="BH160" t="s">
        <v>892</v>
      </c>
      <c r="BI160">
        <v>0.02</v>
      </c>
      <c r="CC160" t="s">
        <v>14</v>
      </c>
      <c r="CD160" t="s">
        <v>446</v>
      </c>
      <c r="CE160" t="s">
        <v>894</v>
      </c>
      <c r="CF160" t="s">
        <v>227</v>
      </c>
      <c r="CG160" t="str">
        <f>Table_Safety_Targets[[#This Row],[ANSP]]&amp;Table_Safety_Targets[[#This Row],[Safety Area]]</f>
        <v>SkyguideSafety policy and objectives</v>
      </c>
    </row>
    <row r="161" spans="55:85">
      <c r="BC161" t="s">
        <v>51</v>
      </c>
      <c r="BD161" t="s">
        <v>885</v>
      </c>
      <c r="BE161" t="s">
        <v>966</v>
      </c>
      <c r="BF161" t="s">
        <v>195</v>
      </c>
      <c r="BG161" t="s">
        <v>889</v>
      </c>
      <c r="BH161" t="s">
        <v>892</v>
      </c>
      <c r="BI161">
        <v>0.47</v>
      </c>
      <c r="CC161" t="s">
        <v>14</v>
      </c>
      <c r="CD161" t="s">
        <v>446</v>
      </c>
      <c r="CE161" t="s">
        <v>895</v>
      </c>
      <c r="CF161" t="s">
        <v>227</v>
      </c>
      <c r="CG161" t="str">
        <f>Table_Safety_Targets[[#This Row],[ANSP]]&amp;Table_Safety_Targets[[#This Row],[Safety Area]]</f>
        <v>SkyguideSafety risk management</v>
      </c>
    </row>
    <row r="162" spans="55:85">
      <c r="BC162" t="s">
        <v>51</v>
      </c>
      <c r="BD162" t="s">
        <v>885</v>
      </c>
      <c r="BE162" t="s">
        <v>966</v>
      </c>
      <c r="BF162" t="s">
        <v>196</v>
      </c>
      <c r="BG162" t="s">
        <v>611</v>
      </c>
      <c r="BH162" t="s">
        <v>892</v>
      </c>
      <c r="BI162">
        <v>0.09</v>
      </c>
      <c r="CC162" t="s">
        <v>14</v>
      </c>
      <c r="CD162" t="s">
        <v>446</v>
      </c>
      <c r="CE162" t="s">
        <v>896</v>
      </c>
      <c r="CF162" t="s">
        <v>227</v>
      </c>
      <c r="CG162" t="str">
        <f>Table_Safety_Targets[[#This Row],[ANSP]]&amp;Table_Safety_Targets[[#This Row],[Safety Area]]</f>
        <v>SkyguideSafety assurance</v>
      </c>
    </row>
    <row r="163" spans="55:85">
      <c r="BC163" t="s">
        <v>51</v>
      </c>
      <c r="BD163" t="s">
        <v>885</v>
      </c>
      <c r="BE163" t="s">
        <v>966</v>
      </c>
      <c r="BF163" t="s">
        <v>197</v>
      </c>
      <c r="BG163" t="s">
        <v>619</v>
      </c>
      <c r="BH163" t="s">
        <v>892</v>
      </c>
      <c r="BI163">
        <v>0.01</v>
      </c>
      <c r="CC163" t="s">
        <v>14</v>
      </c>
      <c r="CD163" t="s">
        <v>446</v>
      </c>
      <c r="CE163" t="s">
        <v>897</v>
      </c>
      <c r="CF163" t="s">
        <v>227</v>
      </c>
      <c r="CG163" t="str">
        <f>Table_Safety_Targets[[#This Row],[ANSP]]&amp;Table_Safety_Targets[[#This Row],[Safety Area]]</f>
        <v>SkyguideSafety promotion</v>
      </c>
    </row>
    <row r="164" spans="55:85">
      <c r="BC164" t="s">
        <v>51</v>
      </c>
      <c r="BD164" t="s">
        <v>885</v>
      </c>
      <c r="BE164" t="s">
        <v>966</v>
      </c>
      <c r="BF164" t="s">
        <v>206</v>
      </c>
      <c r="BG164" t="s">
        <v>890</v>
      </c>
      <c r="BH164" t="s">
        <v>892</v>
      </c>
      <c r="BI164">
        <v>1.38</v>
      </c>
      <c r="CC164" t="s">
        <v>14</v>
      </c>
      <c r="CD164" t="s">
        <v>446</v>
      </c>
      <c r="CE164" t="s">
        <v>898</v>
      </c>
      <c r="CF164" t="s">
        <v>227</v>
      </c>
      <c r="CG164" t="str">
        <f>Table_Safety_Targets[[#This Row],[ANSP]]&amp;Table_Safety_Targets[[#This Row],[Safety Area]]</f>
        <v>SkyguideSafety culture</v>
      </c>
    </row>
    <row r="165" spans="55:85">
      <c r="BC165" t="s">
        <v>51</v>
      </c>
      <c r="BD165" t="s">
        <v>891</v>
      </c>
      <c r="BE165" t="s">
        <v>967</v>
      </c>
      <c r="BF165" t="s">
        <v>1653</v>
      </c>
      <c r="BG165" t="s">
        <v>1546</v>
      </c>
      <c r="BH165" t="s">
        <v>892</v>
      </c>
      <c r="BI165" t="s">
        <v>227</v>
      </c>
      <c r="CC165" t="s">
        <v>1723</v>
      </c>
      <c r="CD165" t="s">
        <v>1723</v>
      </c>
      <c r="CE165" t="s">
        <v>894</v>
      </c>
      <c r="CF165" t="s">
        <v>227</v>
      </c>
      <c r="CG165" t="str">
        <f>Table_Safety_Targets[[#This Row],[ANSP]]&amp;Table_Safety_Targets[[#This Row],[Safety Area]]</f>
        <v>MUACSafety policy and objectives</v>
      </c>
    </row>
    <row r="166" spans="55:85">
      <c r="CC166" t="s">
        <v>1723</v>
      </c>
      <c r="CD166" t="s">
        <v>1723</v>
      </c>
      <c r="CE166" t="s">
        <v>895</v>
      </c>
      <c r="CF166" t="s">
        <v>227</v>
      </c>
      <c r="CG166" t="str">
        <f>Table_Safety_Targets[[#This Row],[ANSP]]&amp;Table_Safety_Targets[[#This Row],[Safety Area]]</f>
        <v>MUACSafety risk management</v>
      </c>
    </row>
    <row r="167" spans="55:85">
      <c r="CC167" t="s">
        <v>1723</v>
      </c>
      <c r="CD167" t="s">
        <v>1723</v>
      </c>
      <c r="CE167" t="s">
        <v>896</v>
      </c>
      <c r="CF167" t="s">
        <v>227</v>
      </c>
      <c r="CG167" t="str">
        <f>Table_Safety_Targets[[#This Row],[ANSP]]&amp;Table_Safety_Targets[[#This Row],[Safety Area]]</f>
        <v>MUACSafety assurance</v>
      </c>
    </row>
    <row r="168" spans="55:85">
      <c r="CC168" t="s">
        <v>1723</v>
      </c>
      <c r="CD168" t="s">
        <v>1723</v>
      </c>
      <c r="CE168" t="s">
        <v>897</v>
      </c>
      <c r="CF168" t="s">
        <v>227</v>
      </c>
      <c r="CG168" t="str">
        <f>Table_Safety_Targets[[#This Row],[ANSP]]&amp;Table_Safety_Targets[[#This Row],[Safety Area]]</f>
        <v>MUACSafety promotion</v>
      </c>
    </row>
    <row r="169" spans="55:85">
      <c r="CC169" t="s">
        <v>1723</v>
      </c>
      <c r="CD169" t="s">
        <v>1723</v>
      </c>
      <c r="CE169" t="s">
        <v>898</v>
      </c>
      <c r="CF169" t="s">
        <v>227</v>
      </c>
      <c r="CG169" t="str">
        <f>Table_Safety_Targets[[#This Row],[ANSP]]&amp;Table_Safety_Targets[[#This Row],[Safety Area]]</f>
        <v>MUACSafety culture</v>
      </c>
    </row>
    <row r="170" spans="55:85">
      <c r="CC170" t="s">
        <v>42</v>
      </c>
      <c r="CD170" t="s">
        <v>720</v>
      </c>
      <c r="CE170" t="s">
        <v>894</v>
      </c>
      <c r="CF170" t="s">
        <v>1715</v>
      </c>
      <c r="CG170" t="str">
        <f>Table_Safety_Targets[[#This Row],[ANSP]]&amp;Table_Safety_Targets[[#This Row],[Safety Area]]</f>
        <v>AvinorSafety policy and objectives</v>
      </c>
    </row>
    <row r="171" spans="55:85">
      <c r="CC171" t="s">
        <v>42</v>
      </c>
      <c r="CD171" t="s">
        <v>720</v>
      </c>
      <c r="CE171" t="s">
        <v>895</v>
      </c>
      <c r="CF171" t="s">
        <v>1715</v>
      </c>
      <c r="CG171" t="str">
        <f>Table_Safety_Targets[[#This Row],[ANSP]]&amp;Table_Safety_Targets[[#This Row],[Safety Area]]</f>
        <v>AvinorSafety risk management</v>
      </c>
    </row>
    <row r="172" spans="55:85">
      <c r="CC172" t="s">
        <v>42</v>
      </c>
      <c r="CD172" t="s">
        <v>720</v>
      </c>
      <c r="CE172" t="s">
        <v>896</v>
      </c>
      <c r="CF172" t="s">
        <v>1715</v>
      </c>
      <c r="CG172" t="str">
        <f>Table_Safety_Targets[[#This Row],[ANSP]]&amp;Table_Safety_Targets[[#This Row],[Safety Area]]</f>
        <v>AvinorSafety assurance</v>
      </c>
    </row>
    <row r="173" spans="55:85">
      <c r="CC173" t="s">
        <v>42</v>
      </c>
      <c r="CD173" t="s">
        <v>720</v>
      </c>
      <c r="CE173" t="s">
        <v>897</v>
      </c>
      <c r="CF173" t="s">
        <v>1715</v>
      </c>
      <c r="CG173" t="str">
        <f>Table_Safety_Targets[[#This Row],[ANSP]]&amp;Table_Safety_Targets[[#This Row],[Safety Area]]</f>
        <v>AvinorSafety promotion</v>
      </c>
    </row>
    <row r="174" spans="55:85">
      <c r="CC174" t="s">
        <v>42</v>
      </c>
      <c r="CD174" t="s">
        <v>720</v>
      </c>
      <c r="CE174" t="s">
        <v>898</v>
      </c>
      <c r="CF174" t="s">
        <v>1715</v>
      </c>
      <c r="CG174" t="str">
        <f>Table_Safety_Targets[[#This Row],[ANSP]]&amp;Table_Safety_Targets[[#This Row],[Safety Area]]</f>
        <v>AvinorSafety culture</v>
      </c>
    </row>
  </sheetData>
  <pageMargins left="0.7" right="0.7" top="0.75" bottom="0.75" header="0.3" footer="0.3"/>
  <pageSetup paperSize="9" orientation="portrait" r:id="rId1"/>
  <tableParts count="11">
    <tablePart r:id="rId2"/>
    <tablePart r:id="rId3"/>
    <tablePart r:id="rId4"/>
    <tablePart r:id="rId5"/>
    <tablePart r:id="rId6"/>
    <tablePart r:id="rId7"/>
    <tablePart r:id="rId8"/>
    <tablePart r:id="rId9"/>
    <tablePart r:id="rId10"/>
    <tablePart r:id="rId11"/>
    <tablePart r:id="rId12"/>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3">
    <tabColor rgb="FF339966"/>
  </sheetPr>
  <dimension ref="A1:CC319"/>
  <sheetViews>
    <sheetView topLeftCell="AN1" zoomScale="85" zoomScaleNormal="85" workbookViewId="0">
      <selection activeCell="B2" sqref="B2"/>
    </sheetView>
  </sheetViews>
  <sheetFormatPr defaultColWidth="9.140625" defaultRowHeight="15"/>
  <cols>
    <col min="4" max="4" width="20.42578125" bestFit="1" customWidth="1"/>
    <col min="5" max="5" width="9.7109375" customWidth="1"/>
    <col min="6" max="6" width="11" customWidth="1"/>
    <col min="42" max="42" width="19.140625" customWidth="1"/>
    <col min="43" max="43" width="11.85546875" customWidth="1"/>
    <col min="47" max="57" width="9.28515625" bestFit="1" customWidth="1"/>
    <col min="58" max="58" width="9.7109375" bestFit="1" customWidth="1"/>
    <col min="59" max="59" width="9.28515625" bestFit="1" customWidth="1"/>
    <col min="61" max="61" width="15.42578125" customWidth="1"/>
    <col min="62" max="62" width="16.5703125" customWidth="1"/>
    <col min="63" max="63" width="13.7109375" bestFit="1" customWidth="1"/>
  </cols>
  <sheetData>
    <row r="1" spans="1:81">
      <c r="A1" s="101" t="s">
        <v>222</v>
      </c>
      <c r="D1" t="s">
        <v>1764</v>
      </c>
      <c r="G1" t="s">
        <v>1698</v>
      </c>
      <c r="I1" t="s">
        <v>1763</v>
      </c>
      <c r="W1" t="s">
        <v>1762</v>
      </c>
      <c r="Z1" t="s">
        <v>1377</v>
      </c>
      <c r="AA1" t="s">
        <v>1376</v>
      </c>
      <c r="AD1" t="s">
        <v>1698</v>
      </c>
      <c r="AF1" t="s">
        <v>1763</v>
      </c>
      <c r="AP1" t="s">
        <v>1767</v>
      </c>
      <c r="AT1" t="s">
        <v>1702</v>
      </c>
      <c r="AV1" t="s">
        <v>1763</v>
      </c>
      <c r="BJ1" t="s">
        <v>1765</v>
      </c>
      <c r="BN1" t="s">
        <v>1702</v>
      </c>
      <c r="BP1" t="s">
        <v>1763</v>
      </c>
      <c r="CB1" s="85"/>
      <c r="CC1" s="85"/>
    </row>
    <row r="2" spans="1:81">
      <c r="A2" t="s">
        <v>919</v>
      </c>
      <c r="D2" t="s">
        <v>732</v>
      </c>
      <c r="E2" t="s">
        <v>631</v>
      </c>
      <c r="F2" t="s">
        <v>632</v>
      </c>
      <c r="G2" t="s">
        <v>1536</v>
      </c>
      <c r="H2" t="s">
        <v>696</v>
      </c>
      <c r="I2" t="s">
        <v>737</v>
      </c>
      <c r="J2" t="s">
        <v>738</v>
      </c>
      <c r="K2" t="s">
        <v>733</v>
      </c>
      <c r="L2" t="s">
        <v>739</v>
      </c>
      <c r="M2" t="s">
        <v>740</v>
      </c>
      <c r="N2" t="s">
        <v>734</v>
      </c>
      <c r="O2" t="s">
        <v>741</v>
      </c>
      <c r="P2" t="s">
        <v>742</v>
      </c>
      <c r="Q2" t="s">
        <v>735</v>
      </c>
      <c r="R2" t="s">
        <v>743</v>
      </c>
      <c r="S2" t="s">
        <v>744</v>
      </c>
      <c r="T2" t="s">
        <v>736</v>
      </c>
      <c r="W2" t="s">
        <v>732</v>
      </c>
      <c r="X2" t="s">
        <v>631</v>
      </c>
      <c r="Y2" t="s">
        <v>632</v>
      </c>
      <c r="Z2" s="450" t="s">
        <v>1536</v>
      </c>
      <c r="AA2" s="450" t="s">
        <v>696</v>
      </c>
      <c r="AB2" s="450" t="s">
        <v>737</v>
      </c>
      <c r="AC2" s="450" t="s">
        <v>738</v>
      </c>
      <c r="AD2" s="450" t="s">
        <v>733</v>
      </c>
      <c r="AE2" s="450" t="s">
        <v>739</v>
      </c>
      <c r="AF2" s="450" t="s">
        <v>740</v>
      </c>
      <c r="AG2" s="450" t="s">
        <v>734</v>
      </c>
      <c r="AH2" s="450" t="s">
        <v>741</v>
      </c>
      <c r="AI2" s="450" t="s">
        <v>742</v>
      </c>
      <c r="AJ2" s="450" t="s">
        <v>735</v>
      </c>
      <c r="AK2" s="450" t="s">
        <v>743</v>
      </c>
      <c r="AL2" s="450" t="s">
        <v>744</v>
      </c>
      <c r="AM2" s="450" t="s">
        <v>736</v>
      </c>
      <c r="AP2" t="s">
        <v>745</v>
      </c>
      <c r="AQ2" t="s">
        <v>753</v>
      </c>
      <c r="AR2" t="s">
        <v>631</v>
      </c>
      <c r="AS2" t="s">
        <v>632</v>
      </c>
      <c r="AT2" t="s">
        <v>1536</v>
      </c>
      <c r="AU2" t="s">
        <v>696</v>
      </c>
      <c r="AV2" t="s">
        <v>737</v>
      </c>
      <c r="AW2" t="s">
        <v>738</v>
      </c>
      <c r="AX2" t="s">
        <v>733</v>
      </c>
      <c r="AY2" t="s">
        <v>739</v>
      </c>
      <c r="AZ2" t="s">
        <v>740</v>
      </c>
      <c r="BA2" t="s">
        <v>734</v>
      </c>
      <c r="BB2" t="s">
        <v>741</v>
      </c>
      <c r="BC2" t="s">
        <v>742</v>
      </c>
      <c r="BD2" t="s">
        <v>735</v>
      </c>
      <c r="BE2" t="s">
        <v>743</v>
      </c>
      <c r="BF2" t="s">
        <v>744</v>
      </c>
      <c r="BG2" t="s">
        <v>736</v>
      </c>
      <c r="BJ2" t="s">
        <v>745</v>
      </c>
      <c r="BK2" t="s">
        <v>753</v>
      </c>
      <c r="BL2" t="s">
        <v>631</v>
      </c>
      <c r="BM2" t="s">
        <v>632</v>
      </c>
      <c r="BN2" t="s">
        <v>1536</v>
      </c>
      <c r="BO2" t="s">
        <v>696</v>
      </c>
      <c r="BP2" t="s">
        <v>737</v>
      </c>
      <c r="BQ2" t="s">
        <v>738</v>
      </c>
      <c r="BR2" t="s">
        <v>733</v>
      </c>
      <c r="BS2" t="s">
        <v>739</v>
      </c>
      <c r="BT2" t="s">
        <v>740</v>
      </c>
      <c r="BU2" t="s">
        <v>734</v>
      </c>
      <c r="BV2" t="s">
        <v>741</v>
      </c>
      <c r="BW2" t="s">
        <v>742</v>
      </c>
      <c r="BX2" t="s">
        <v>735</v>
      </c>
      <c r="BY2" t="s">
        <v>743</v>
      </c>
      <c r="BZ2" t="s">
        <v>744</v>
      </c>
      <c r="CA2" t="s">
        <v>736</v>
      </c>
      <c r="CB2" s="85"/>
      <c r="CC2" s="85"/>
    </row>
    <row r="3" spans="1:81">
      <c r="A3" t="s">
        <v>303</v>
      </c>
      <c r="B3" t="s">
        <v>264</v>
      </c>
      <c r="D3" t="s">
        <v>2</v>
      </c>
      <c r="E3">
        <v>1232247</v>
      </c>
      <c r="F3">
        <v>1300677</v>
      </c>
      <c r="G3">
        <v>1364566</v>
      </c>
      <c r="H3">
        <v>590080</v>
      </c>
      <c r="I3">
        <v>609875.90667803702</v>
      </c>
      <c r="J3">
        <v>715897.85682424402</v>
      </c>
      <c r="K3">
        <v>503350.41274047003</v>
      </c>
      <c r="L3">
        <v>985275.70118295506</v>
      </c>
      <c r="M3">
        <v>1178167.3816877401</v>
      </c>
      <c r="N3">
        <v>759170.64038774604</v>
      </c>
      <c r="O3">
        <v>1163179.78994232</v>
      </c>
      <c r="P3">
        <v>1377067.0801339101</v>
      </c>
      <c r="Q3">
        <v>870115.11115812301</v>
      </c>
      <c r="R3">
        <v>1333224.4872752901</v>
      </c>
      <c r="S3">
        <v>1500148.9817673699</v>
      </c>
      <c r="T3">
        <v>987718.28456342104</v>
      </c>
      <c r="U3" s="88"/>
      <c r="W3" t="s">
        <v>2</v>
      </c>
      <c r="X3">
        <v>2973818.5597000001</v>
      </c>
      <c r="Y3">
        <v>3198238.1401</v>
      </c>
      <c r="Z3">
        <v>3338330.0042999992</v>
      </c>
      <c r="AA3">
        <v>1508628.5973</v>
      </c>
      <c r="AB3">
        <v>1500908</v>
      </c>
      <c r="AC3">
        <v>1767376</v>
      </c>
      <c r="AD3">
        <v>1239471</v>
      </c>
      <c r="AE3">
        <v>2346414</v>
      </c>
      <c r="AF3">
        <v>2823369</v>
      </c>
      <c r="AG3">
        <v>1821974</v>
      </c>
      <c r="AH3">
        <v>2806008</v>
      </c>
      <c r="AI3">
        <v>3330601</v>
      </c>
      <c r="AJ3">
        <v>2095000</v>
      </c>
      <c r="AK3">
        <v>3224412</v>
      </c>
      <c r="AL3">
        <v>3642971</v>
      </c>
      <c r="AM3">
        <v>2382539</v>
      </c>
      <c r="AO3" s="128"/>
      <c r="AP3" t="s">
        <v>1497</v>
      </c>
      <c r="AQ3" t="s">
        <v>932</v>
      </c>
      <c r="AR3">
        <v>165474</v>
      </c>
      <c r="AS3">
        <v>174680</v>
      </c>
      <c r="AT3">
        <v>184825</v>
      </c>
      <c r="AU3" s="72">
        <v>75658</v>
      </c>
      <c r="AV3" s="72">
        <v>81090.230775035219</v>
      </c>
      <c r="AW3" s="72">
        <v>94124.824247726967</v>
      </c>
      <c r="AX3" s="72">
        <v>68347.293392356383</v>
      </c>
      <c r="AY3" s="72">
        <v>140808.38472185424</v>
      </c>
      <c r="AZ3" s="72">
        <v>165155.27676568317</v>
      </c>
      <c r="BA3" s="72">
        <v>106616.14094387021</v>
      </c>
      <c r="BB3" s="72">
        <v>156056.92671852806</v>
      </c>
      <c r="BC3" s="72">
        <v>182104.16482179286</v>
      </c>
      <c r="BD3" s="72">
        <v>119857.11295371265</v>
      </c>
      <c r="BE3" s="72">
        <v>177100.99545823678</v>
      </c>
      <c r="BF3" s="72">
        <v>191852.91690615829</v>
      </c>
      <c r="BG3" s="72">
        <v>133810.04329071555</v>
      </c>
      <c r="BJ3" t="s">
        <v>1497</v>
      </c>
      <c r="BK3" t="s">
        <v>932</v>
      </c>
      <c r="BL3">
        <v>183368.71546000001</v>
      </c>
      <c r="BM3">
        <v>197175.70425000001</v>
      </c>
      <c r="BN3">
        <v>214769.6927055</v>
      </c>
      <c r="BO3">
        <v>82147.491041391826</v>
      </c>
      <c r="BP3">
        <v>86163.264895541215</v>
      </c>
      <c r="BQ3">
        <v>101719.77191230327</v>
      </c>
      <c r="BR3">
        <v>71057.748665503328</v>
      </c>
      <c r="BS3">
        <v>163619.05076086477</v>
      </c>
      <c r="BT3">
        <v>194417.76635910565</v>
      </c>
      <c r="BU3">
        <v>121801.56755702113</v>
      </c>
      <c r="BV3">
        <v>182622.91057721051</v>
      </c>
      <c r="BW3">
        <v>215468.69795259926</v>
      </c>
      <c r="BX3">
        <v>138125.33403786502</v>
      </c>
      <c r="BY3">
        <v>209754.92707239164</v>
      </c>
      <c r="BZ3">
        <v>228700.69260050837</v>
      </c>
      <c r="CA3">
        <v>156279.54272265508</v>
      </c>
      <c r="CB3" s="85"/>
      <c r="CC3" s="85"/>
    </row>
    <row r="4" spans="1:81">
      <c r="A4" t="s">
        <v>1537</v>
      </c>
      <c r="B4" t="s">
        <v>1537</v>
      </c>
      <c r="D4" t="s">
        <v>209</v>
      </c>
      <c r="E4">
        <v>889385</v>
      </c>
      <c r="F4">
        <v>977499</v>
      </c>
      <c r="I4">
        <v>419400.79759446002</v>
      </c>
      <c r="J4">
        <v>484486.69733685401</v>
      </c>
      <c r="K4">
        <v>349555.77263875102</v>
      </c>
      <c r="L4">
        <v>684615.69941318908</v>
      </c>
      <c r="M4">
        <v>791102.38154277101</v>
      </c>
      <c r="N4">
        <v>538759.41704168508</v>
      </c>
      <c r="O4">
        <v>828109.24249980797</v>
      </c>
      <c r="P4">
        <v>949820.64613053994</v>
      </c>
      <c r="Q4">
        <v>622044.68123245507</v>
      </c>
      <c r="R4">
        <v>941775.12361256103</v>
      </c>
      <c r="S4">
        <v>1020142.5787414199</v>
      </c>
      <c r="T4">
        <v>705839.47060463298</v>
      </c>
      <c r="U4" s="88"/>
      <c r="W4" t="s">
        <v>209</v>
      </c>
      <c r="AB4">
        <v>2582203</v>
      </c>
      <c r="AC4">
        <v>2980916</v>
      </c>
      <c r="AD4">
        <v>2196034</v>
      </c>
      <c r="AE4">
        <v>3972575</v>
      </c>
      <c r="AF4">
        <v>4504524</v>
      </c>
      <c r="AG4">
        <v>3206366</v>
      </c>
      <c r="AH4">
        <v>4733201</v>
      </c>
      <c r="AI4">
        <v>5452147</v>
      </c>
      <c r="AJ4">
        <v>3693942</v>
      </c>
      <c r="AK4">
        <v>5423398</v>
      </c>
      <c r="AL4">
        <v>5856281</v>
      </c>
      <c r="AM4">
        <v>4175252</v>
      </c>
      <c r="AO4" s="128"/>
      <c r="AP4" t="s">
        <v>757</v>
      </c>
      <c r="AQ4" t="s">
        <v>933</v>
      </c>
      <c r="AR4">
        <v>5789</v>
      </c>
      <c r="AS4">
        <v>6458</v>
      </c>
      <c r="AT4">
        <v>5445</v>
      </c>
      <c r="AU4" s="72">
        <v>4051</v>
      </c>
      <c r="AV4" s="72">
        <v>4373.3059481395885</v>
      </c>
      <c r="AW4" s="72">
        <v>4618.8921464669202</v>
      </c>
      <c r="AX4" s="72">
        <v>4037.044844851132</v>
      </c>
      <c r="AY4" s="72">
        <v>5047.5549475537873</v>
      </c>
      <c r="AZ4" s="72">
        <v>5414.4020560799772</v>
      </c>
      <c r="BA4" s="72">
        <v>4292.4947221469529</v>
      </c>
      <c r="BB4" s="72">
        <v>5501.7411259072824</v>
      </c>
      <c r="BC4" s="72">
        <v>5856.9046185908846</v>
      </c>
      <c r="BD4" s="72">
        <v>4676.9470239443172</v>
      </c>
      <c r="BE4" s="72">
        <v>5827.4522337485778</v>
      </c>
      <c r="BF4" s="72">
        <v>6142.5298714710489</v>
      </c>
      <c r="BG4" s="72">
        <v>4944.655264174784</v>
      </c>
      <c r="BJ4" t="s">
        <v>757</v>
      </c>
      <c r="BK4" t="s">
        <v>933</v>
      </c>
      <c r="BL4">
        <v>2406.1816328999998</v>
      </c>
      <c r="BM4">
        <v>2814.7313279</v>
      </c>
      <c r="BN4">
        <v>2427.6890696999999</v>
      </c>
      <c r="BO4">
        <v>1095.4505768932788</v>
      </c>
      <c r="CB4" s="85"/>
      <c r="CC4" s="85"/>
    </row>
    <row r="5" spans="1:81">
      <c r="A5" t="s">
        <v>227</v>
      </c>
      <c r="B5" t="s">
        <v>227</v>
      </c>
      <c r="D5" t="s">
        <v>208</v>
      </c>
      <c r="E5">
        <v>1239835</v>
      </c>
      <c r="F5">
        <v>1275219</v>
      </c>
      <c r="G5">
        <v>1248754</v>
      </c>
      <c r="H5">
        <v>541454</v>
      </c>
      <c r="I5">
        <v>560161.21457108902</v>
      </c>
      <c r="J5">
        <v>653508.44335407997</v>
      </c>
      <c r="K5">
        <v>464801.466890515</v>
      </c>
      <c r="L5">
        <v>858139.61375502194</v>
      </c>
      <c r="M5">
        <v>1021481.3212107701</v>
      </c>
      <c r="N5">
        <v>659946.85096933402</v>
      </c>
      <c r="O5">
        <v>998715.603790742</v>
      </c>
      <c r="P5">
        <v>1176648.7242086299</v>
      </c>
      <c r="Q5">
        <v>744801.78355277202</v>
      </c>
      <c r="R5">
        <v>1134169.4312863401</v>
      </c>
      <c r="S5">
        <v>1280879.90411059</v>
      </c>
      <c r="T5">
        <v>832650.66982104199</v>
      </c>
      <c r="U5" s="88"/>
      <c r="W5" t="s">
        <v>208</v>
      </c>
      <c r="X5">
        <v>2593651.5902</v>
      </c>
      <c r="Y5">
        <v>2643568.2034999998</v>
      </c>
      <c r="Z5">
        <v>2619591.8294999995</v>
      </c>
      <c r="AA5">
        <v>1080872.5997000001</v>
      </c>
      <c r="AB5">
        <v>1084388</v>
      </c>
      <c r="AC5">
        <v>1275330</v>
      </c>
      <c r="AD5">
        <v>895138</v>
      </c>
      <c r="AE5">
        <v>1665041</v>
      </c>
      <c r="AF5">
        <v>1996282</v>
      </c>
      <c r="AG5">
        <v>1285327</v>
      </c>
      <c r="AH5">
        <v>1967565</v>
      </c>
      <c r="AI5">
        <v>2326739</v>
      </c>
      <c r="AJ5">
        <v>1462050</v>
      </c>
      <c r="AK5">
        <v>2251192</v>
      </c>
      <c r="AL5">
        <v>2544348</v>
      </c>
      <c r="AM5">
        <v>1644682</v>
      </c>
      <c r="AO5" s="128"/>
      <c r="AP5" t="s">
        <v>754</v>
      </c>
      <c r="AQ5" t="s">
        <v>934</v>
      </c>
      <c r="AR5">
        <v>116148</v>
      </c>
      <c r="AS5">
        <v>114908</v>
      </c>
      <c r="AT5">
        <v>114578</v>
      </c>
      <c r="AU5" s="72">
        <v>45668</v>
      </c>
      <c r="AV5" s="72">
        <v>50640.75814733703</v>
      </c>
      <c r="AW5" s="72">
        <v>59696.430892665318</v>
      </c>
      <c r="AX5" s="72">
        <v>41733.68361288344</v>
      </c>
      <c r="AY5" s="72">
        <v>78506.914495249817</v>
      </c>
      <c r="AZ5" s="72">
        <v>94297.094630145453</v>
      </c>
      <c r="BA5" s="72">
        <v>57924.23394908091</v>
      </c>
      <c r="BB5" s="72">
        <v>89452.15618620145</v>
      </c>
      <c r="BC5" s="72">
        <v>106391.76997197629</v>
      </c>
      <c r="BD5" s="72">
        <v>65700.318976607319</v>
      </c>
      <c r="BE5" s="72">
        <v>102209.83079420876</v>
      </c>
      <c r="BF5" s="72">
        <v>116621.54321632169</v>
      </c>
      <c r="BG5" s="72">
        <v>73883.88126340101</v>
      </c>
      <c r="BJ5" t="s">
        <v>754</v>
      </c>
      <c r="BK5" t="s">
        <v>934</v>
      </c>
      <c r="BL5">
        <v>157783.54745000001</v>
      </c>
      <c r="BM5">
        <v>161137.36648999999</v>
      </c>
      <c r="BN5">
        <v>162346.64629999999</v>
      </c>
      <c r="BO5">
        <v>72921.398985031046</v>
      </c>
      <c r="BP5">
        <v>76654.271857385975</v>
      </c>
      <c r="BQ5">
        <v>86904.896303299407</v>
      </c>
      <c r="BR5">
        <v>63080.318577303842</v>
      </c>
      <c r="BS5">
        <v>115235.84837891307</v>
      </c>
      <c r="BT5">
        <v>134701.06820711924</v>
      </c>
      <c r="BU5">
        <v>88134.665114186268</v>
      </c>
      <c r="BV5">
        <v>127646.45805705202</v>
      </c>
      <c r="BW5">
        <v>149042.24330135912</v>
      </c>
      <c r="BX5">
        <v>102389.10091872314</v>
      </c>
      <c r="BY5">
        <v>144432.59749285175</v>
      </c>
      <c r="BZ5">
        <v>162238.02225316048</v>
      </c>
      <c r="CA5">
        <v>115233.39648410032</v>
      </c>
      <c r="CB5" s="85"/>
      <c r="CC5" s="85"/>
    </row>
    <row r="6" spans="1:81">
      <c r="D6" t="s">
        <v>212</v>
      </c>
      <c r="E6">
        <v>2484906</v>
      </c>
      <c r="F6">
        <v>2662472</v>
      </c>
      <c r="I6">
        <v>1185728.2223996201</v>
      </c>
      <c r="J6">
        <v>1381559.48147653</v>
      </c>
      <c r="K6">
        <v>974934.42277933809</v>
      </c>
      <c r="L6">
        <v>1853690.9345547101</v>
      </c>
      <c r="M6">
        <v>2211064.9874017402</v>
      </c>
      <c r="N6">
        <v>1436433.41768127</v>
      </c>
      <c r="O6">
        <v>2199830.5904568001</v>
      </c>
      <c r="P6">
        <v>2605708.5340434099</v>
      </c>
      <c r="Q6">
        <v>1654365.62971413</v>
      </c>
      <c r="R6">
        <v>2505606.4845039402</v>
      </c>
      <c r="S6">
        <v>2870841.7048442299</v>
      </c>
      <c r="T6">
        <v>1886641.1927745999</v>
      </c>
      <c r="U6" s="88"/>
      <c r="W6" t="s">
        <v>212</v>
      </c>
      <c r="AB6">
        <v>8344890</v>
      </c>
      <c r="AC6">
        <v>9776542</v>
      </c>
      <c r="AD6">
        <v>6955411</v>
      </c>
      <c r="AE6">
        <v>13549978</v>
      </c>
      <c r="AF6">
        <v>16335174</v>
      </c>
      <c r="AG6">
        <v>10500572</v>
      </c>
      <c r="AH6">
        <v>16463870</v>
      </c>
      <c r="AI6">
        <v>19550846</v>
      </c>
      <c r="AJ6">
        <v>12441710</v>
      </c>
      <c r="AK6">
        <v>18826008</v>
      </c>
      <c r="AL6">
        <v>21740630</v>
      </c>
      <c r="AM6">
        <v>14461129</v>
      </c>
      <c r="AO6" s="128"/>
      <c r="AP6" t="s">
        <v>755</v>
      </c>
      <c r="AQ6" t="s">
        <v>935</v>
      </c>
      <c r="AR6">
        <v>25258</v>
      </c>
      <c r="AS6">
        <v>26421</v>
      </c>
      <c r="AT6">
        <v>27035</v>
      </c>
      <c r="AU6" s="72">
        <v>12412</v>
      </c>
      <c r="AV6" s="72">
        <v>11842.816004630167</v>
      </c>
      <c r="AW6" s="72">
        <v>14011.042926344273</v>
      </c>
      <c r="AX6" s="72">
        <v>9560.4316691846652</v>
      </c>
      <c r="AY6" s="72">
        <v>19276.307137496704</v>
      </c>
      <c r="AZ6" s="72">
        <v>23373.184570598081</v>
      </c>
      <c r="BA6" s="72">
        <v>13910.346787379505</v>
      </c>
      <c r="BB6" s="72">
        <v>22478.730370000729</v>
      </c>
      <c r="BC6" s="72">
        <v>26855.935967720354</v>
      </c>
      <c r="BD6" s="72">
        <v>16104.262899676449</v>
      </c>
      <c r="BE6" s="72">
        <v>26244.649070187865</v>
      </c>
      <c r="BF6" s="72">
        <v>30017.291022768266</v>
      </c>
      <c r="BG6" s="72">
        <v>18501.670655149155</v>
      </c>
      <c r="BJ6" t="s">
        <v>755</v>
      </c>
      <c r="BK6" t="s">
        <v>935</v>
      </c>
      <c r="BL6">
        <v>30989.961096999999</v>
      </c>
      <c r="BM6">
        <v>32433.751471</v>
      </c>
      <c r="BN6">
        <v>33083.910331999999</v>
      </c>
      <c r="BO6">
        <v>14137.69906359153</v>
      </c>
      <c r="CB6" s="85"/>
      <c r="CC6" s="85"/>
    </row>
    <row r="7" spans="1:81">
      <c r="D7" t="s">
        <v>218</v>
      </c>
      <c r="E7">
        <v>783223</v>
      </c>
      <c r="F7">
        <v>871164</v>
      </c>
      <c r="G7">
        <v>879375</v>
      </c>
      <c r="H7">
        <v>376180</v>
      </c>
      <c r="I7">
        <v>383233.71249280201</v>
      </c>
      <c r="J7">
        <v>448482.21093054203</v>
      </c>
      <c r="K7">
        <v>321973.65122575901</v>
      </c>
      <c r="L7">
        <v>570131.93650160206</v>
      </c>
      <c r="M7">
        <v>675187.19235799205</v>
      </c>
      <c r="N7">
        <v>453125.66924905998</v>
      </c>
      <c r="O7">
        <v>691889.38507841399</v>
      </c>
      <c r="P7">
        <v>818411.64124976005</v>
      </c>
      <c r="Q7">
        <v>530541.99806154403</v>
      </c>
      <c r="R7">
        <v>799742.97492241301</v>
      </c>
      <c r="S7">
        <v>913267.844093589</v>
      </c>
      <c r="T7">
        <v>613178.74506467802</v>
      </c>
      <c r="U7" s="88"/>
      <c r="W7" t="s">
        <v>218</v>
      </c>
      <c r="X7">
        <v>3513254.3267000001</v>
      </c>
      <c r="Y7">
        <v>3937596.0765</v>
      </c>
      <c r="Z7">
        <v>4031642.7933999998</v>
      </c>
      <c r="AA7">
        <v>1766030.8487999998</v>
      </c>
      <c r="AB7">
        <v>1727276</v>
      </c>
      <c r="AC7">
        <v>2022019</v>
      </c>
      <c r="AD7">
        <v>1443311</v>
      </c>
      <c r="AE7">
        <v>2451129</v>
      </c>
      <c r="AF7">
        <v>2859152</v>
      </c>
      <c r="AG7">
        <v>1972997</v>
      </c>
      <c r="AH7">
        <v>2923798</v>
      </c>
      <c r="AI7">
        <v>3441782</v>
      </c>
      <c r="AJ7">
        <v>2269608</v>
      </c>
      <c r="AK7">
        <v>3354978</v>
      </c>
      <c r="AL7">
        <v>3838326</v>
      </c>
      <c r="AM7">
        <v>2599543</v>
      </c>
      <c r="AO7" s="128"/>
      <c r="AP7" t="s">
        <v>756</v>
      </c>
      <c r="AQ7" t="s">
        <v>936</v>
      </c>
      <c r="AR7">
        <v>16130</v>
      </c>
      <c r="AS7">
        <v>17154</v>
      </c>
      <c r="AT7">
        <v>17295</v>
      </c>
      <c r="AU7" s="72">
        <v>18356</v>
      </c>
      <c r="AV7" s="72">
        <v>16982.022295984865</v>
      </c>
      <c r="AW7" s="72">
        <v>17962.495811147182</v>
      </c>
      <c r="AX7" s="72">
        <v>16041.550436945095</v>
      </c>
      <c r="AY7" s="72">
        <v>16958.744177670626</v>
      </c>
      <c r="AZ7" s="72">
        <v>17937.891639065627</v>
      </c>
      <c r="BA7" s="72">
        <v>14903.697796260794</v>
      </c>
      <c r="BB7" s="72">
        <v>16955.624641808208</v>
      </c>
      <c r="BC7" s="72">
        <v>17975.01430216142</v>
      </c>
      <c r="BD7" s="72">
        <v>14931.028664704034</v>
      </c>
      <c r="BE7" s="72">
        <v>16920.078794398858</v>
      </c>
      <c r="BF7" s="72">
        <v>17870.549469663416</v>
      </c>
      <c r="BG7" s="72">
        <v>15052.14092929155</v>
      </c>
      <c r="BJ7" t="s">
        <v>756</v>
      </c>
      <c r="BK7" t="s">
        <v>936</v>
      </c>
      <c r="BL7">
        <v>30782.322174000001</v>
      </c>
      <c r="BM7">
        <v>35192.134135</v>
      </c>
      <c r="BN7">
        <v>37106.342073</v>
      </c>
      <c r="BO7">
        <v>42984.075168083029</v>
      </c>
      <c r="CB7" s="85"/>
      <c r="CC7" s="85"/>
    </row>
    <row r="8" spans="1:81">
      <c r="D8" t="s">
        <v>4</v>
      </c>
      <c r="E8">
        <v>586684</v>
      </c>
      <c r="F8">
        <v>646656</v>
      </c>
      <c r="G8">
        <v>714219</v>
      </c>
      <c r="H8">
        <v>301099</v>
      </c>
      <c r="I8">
        <v>327258.03166676103</v>
      </c>
      <c r="J8">
        <v>382121.74865651497</v>
      </c>
      <c r="K8">
        <v>273092.88823888503</v>
      </c>
      <c r="L8">
        <v>500771.62784158601</v>
      </c>
      <c r="M8">
        <v>598178.32597626105</v>
      </c>
      <c r="N8">
        <v>394591.68893589597</v>
      </c>
      <c r="O8">
        <v>605213.22228922695</v>
      </c>
      <c r="P8">
        <v>717201.75168764906</v>
      </c>
      <c r="Q8">
        <v>455792.48493817</v>
      </c>
      <c r="R8">
        <v>696202.74959974701</v>
      </c>
      <c r="S8">
        <v>793644.00838101294</v>
      </c>
      <c r="T8">
        <v>521785.78497682302</v>
      </c>
      <c r="U8" s="88"/>
      <c r="W8" t="s">
        <v>4</v>
      </c>
      <c r="X8">
        <v>1799166.2888</v>
      </c>
      <c r="Y8">
        <v>1993898.0490999999</v>
      </c>
      <c r="Z8">
        <v>2193425.7231999999</v>
      </c>
      <c r="AA8">
        <v>929104.85680000007</v>
      </c>
      <c r="AB8">
        <v>1016785</v>
      </c>
      <c r="AC8">
        <v>1201780</v>
      </c>
      <c r="AD8">
        <v>841544</v>
      </c>
      <c r="AE8">
        <v>1581839</v>
      </c>
      <c r="AF8">
        <v>1918218</v>
      </c>
      <c r="AG8">
        <v>1231262</v>
      </c>
      <c r="AH8">
        <v>1945714</v>
      </c>
      <c r="AI8">
        <v>2319016</v>
      </c>
      <c r="AJ8">
        <v>1447526</v>
      </c>
      <c r="AK8">
        <v>2251180</v>
      </c>
      <c r="AL8">
        <v>2571702</v>
      </c>
      <c r="AM8">
        <v>1672362</v>
      </c>
      <c r="AO8" s="128"/>
      <c r="AP8" t="s">
        <v>758</v>
      </c>
      <c r="AQ8" t="s">
        <v>937</v>
      </c>
      <c r="AR8">
        <v>2952</v>
      </c>
      <c r="AS8">
        <v>3051</v>
      </c>
      <c r="AT8">
        <v>3296</v>
      </c>
      <c r="AU8" s="72">
        <v>2603</v>
      </c>
      <c r="AV8" s="72">
        <v>2126.9144954012604</v>
      </c>
      <c r="AW8" s="72">
        <v>2308.0832368460592</v>
      </c>
      <c r="AX8" s="72">
        <v>1910.7812178810113</v>
      </c>
      <c r="AY8" s="72">
        <v>2668.9563106043597</v>
      </c>
      <c r="AZ8" s="72">
        <v>2983.4753595305378</v>
      </c>
      <c r="BA8" s="72">
        <v>2198.1690623646605</v>
      </c>
      <c r="BB8" s="72">
        <v>2945.021087427051</v>
      </c>
      <c r="BC8" s="72">
        <v>3294.0619647689782</v>
      </c>
      <c r="BD8" s="72">
        <v>2410.3103398234598</v>
      </c>
      <c r="BE8" s="72">
        <v>3197.6821532276808</v>
      </c>
      <c r="BF8" s="72">
        <v>3534.5190244014129</v>
      </c>
      <c r="BG8" s="72">
        <v>2630.5134918670988</v>
      </c>
      <c r="BJ8" t="s">
        <v>758</v>
      </c>
      <c r="BK8" t="s">
        <v>937</v>
      </c>
      <c r="BL8">
        <v>2965.9796382999998</v>
      </c>
      <c r="BM8">
        <v>3399.5810175000001</v>
      </c>
      <c r="BN8">
        <v>3398.2348661999999</v>
      </c>
      <c r="BO8">
        <v>3719.4209063353173</v>
      </c>
      <c r="CB8" s="85"/>
      <c r="CC8" s="85"/>
    </row>
    <row r="9" spans="1:81">
      <c r="D9" t="s">
        <v>213</v>
      </c>
      <c r="E9">
        <v>359543</v>
      </c>
      <c r="F9">
        <v>393556</v>
      </c>
      <c r="G9">
        <v>411466</v>
      </c>
      <c r="H9">
        <v>164210</v>
      </c>
      <c r="I9">
        <v>186465.08582200503</v>
      </c>
      <c r="J9">
        <v>212939.70332141902</v>
      </c>
      <c r="K9">
        <v>163555.19736796801</v>
      </c>
      <c r="L9">
        <v>290349.57490417402</v>
      </c>
      <c r="M9">
        <v>336923.79934951296</v>
      </c>
      <c r="N9">
        <v>236159.20957992302</v>
      </c>
      <c r="O9">
        <v>346649.70829905302</v>
      </c>
      <c r="P9">
        <v>404780.61596065498</v>
      </c>
      <c r="Q9">
        <v>280998.66299735702</v>
      </c>
      <c r="R9">
        <v>398644.45339760603</v>
      </c>
      <c r="S9">
        <v>460287.86114515096</v>
      </c>
      <c r="T9">
        <v>330465.62163195101</v>
      </c>
      <c r="U9" s="88"/>
      <c r="W9" t="s">
        <v>213</v>
      </c>
      <c r="X9">
        <v>1727957.7278</v>
      </c>
      <c r="Y9">
        <v>1897491.9924000001</v>
      </c>
      <c r="Z9">
        <v>2068169.8733000001</v>
      </c>
      <c r="AA9">
        <v>852578.68800000008</v>
      </c>
      <c r="AB9">
        <v>926027</v>
      </c>
      <c r="AC9">
        <v>1055399</v>
      </c>
      <c r="AD9">
        <v>806368</v>
      </c>
      <c r="AE9">
        <v>1436347</v>
      </c>
      <c r="AF9">
        <v>1645323</v>
      </c>
      <c r="AG9">
        <v>1175313</v>
      </c>
      <c r="AH9">
        <v>1691390</v>
      </c>
      <c r="AI9">
        <v>1965640</v>
      </c>
      <c r="AJ9">
        <v>1383490</v>
      </c>
      <c r="AK9">
        <v>1935110</v>
      </c>
      <c r="AL9">
        <v>2240831</v>
      </c>
      <c r="AM9">
        <v>1622775</v>
      </c>
      <c r="AO9" s="128"/>
      <c r="AP9" t="s">
        <v>1498</v>
      </c>
      <c r="AQ9" t="s">
        <v>938</v>
      </c>
      <c r="AR9">
        <v>28475</v>
      </c>
      <c r="AS9">
        <v>29882</v>
      </c>
      <c r="AT9">
        <v>30253</v>
      </c>
      <c r="AU9" s="72"/>
      <c r="AV9" s="72"/>
      <c r="AW9" s="72"/>
      <c r="AX9" s="72"/>
      <c r="AY9" s="72"/>
      <c r="AZ9" s="72"/>
      <c r="BA9" s="72"/>
      <c r="BB9" s="72"/>
      <c r="BC9" s="72"/>
      <c r="BD9" s="72"/>
      <c r="BE9" s="72"/>
      <c r="BF9" s="72"/>
      <c r="BG9" s="72"/>
      <c r="BJ9" t="s">
        <v>1498</v>
      </c>
      <c r="BK9" t="s">
        <v>938</v>
      </c>
      <c r="BL9">
        <v>32975.886194999999</v>
      </c>
      <c r="BM9">
        <v>34889.051024</v>
      </c>
      <c r="BN9">
        <v>35364.813406000001</v>
      </c>
      <c r="CB9" s="85"/>
      <c r="CC9" s="85"/>
    </row>
    <row r="10" spans="1:81">
      <c r="D10" t="s">
        <v>3</v>
      </c>
      <c r="E10">
        <v>816884</v>
      </c>
      <c r="F10">
        <v>877269</v>
      </c>
      <c r="G10">
        <v>867234</v>
      </c>
      <c r="H10">
        <v>339690</v>
      </c>
      <c r="I10">
        <v>359257.62167775497</v>
      </c>
      <c r="J10">
        <v>417346.11321491498</v>
      </c>
      <c r="K10">
        <v>302595.394129942</v>
      </c>
      <c r="L10">
        <v>574555.68991753203</v>
      </c>
      <c r="M10">
        <v>678176.20527063112</v>
      </c>
      <c r="N10">
        <v>451794.65331905801</v>
      </c>
      <c r="O10">
        <v>683737.86501871597</v>
      </c>
      <c r="P10">
        <v>799376.66397503205</v>
      </c>
      <c r="Q10">
        <v>517386.55228848499</v>
      </c>
      <c r="R10">
        <v>782362.16048725205</v>
      </c>
      <c r="S10">
        <v>870469.67718595103</v>
      </c>
      <c r="T10">
        <v>586490.51738565799</v>
      </c>
      <c r="U10" s="88"/>
      <c r="W10" t="s">
        <v>3</v>
      </c>
      <c r="X10">
        <v>2823895.2823000001</v>
      </c>
      <c r="Y10">
        <v>3041480.5750000002</v>
      </c>
      <c r="Z10">
        <v>2936186.0647</v>
      </c>
      <c r="AA10">
        <v>1138417.4210000001</v>
      </c>
      <c r="AB10">
        <v>1165120</v>
      </c>
      <c r="AC10">
        <v>1360946</v>
      </c>
      <c r="AD10">
        <v>972586</v>
      </c>
      <c r="AE10">
        <v>1840802</v>
      </c>
      <c r="AF10">
        <v>2179435</v>
      </c>
      <c r="AG10">
        <v>1447497</v>
      </c>
      <c r="AH10">
        <v>2195628</v>
      </c>
      <c r="AI10">
        <v>2571193</v>
      </c>
      <c r="AJ10">
        <v>1659618</v>
      </c>
      <c r="AK10">
        <v>2514308</v>
      </c>
      <c r="AL10">
        <v>2799602</v>
      </c>
      <c r="AM10">
        <v>1881479</v>
      </c>
      <c r="AO10" s="128"/>
      <c r="AP10" t="s">
        <v>1499</v>
      </c>
      <c r="AQ10" t="s">
        <v>940</v>
      </c>
      <c r="AR10">
        <v>21231</v>
      </c>
      <c r="AS10">
        <v>21825</v>
      </c>
      <c r="AT10">
        <v>22685</v>
      </c>
      <c r="AU10" s="72"/>
      <c r="AV10" s="72"/>
      <c r="AW10" s="72"/>
      <c r="AX10" s="72"/>
      <c r="AY10" s="72"/>
      <c r="AZ10" s="72"/>
      <c r="BA10" s="72"/>
      <c r="BB10" s="72"/>
      <c r="BC10" s="72"/>
      <c r="BD10" s="72"/>
      <c r="BE10" s="72"/>
      <c r="BF10" s="72"/>
      <c r="BG10" s="72"/>
      <c r="BJ10" t="s">
        <v>1499</v>
      </c>
      <c r="BK10" t="s">
        <v>940</v>
      </c>
      <c r="BL10">
        <v>19576.975011999999</v>
      </c>
      <c r="BM10">
        <v>21021.747431</v>
      </c>
      <c r="BN10">
        <v>21613.387325459</v>
      </c>
      <c r="CB10" s="85"/>
      <c r="CC10" s="85"/>
    </row>
    <row r="11" spans="1:81">
      <c r="D11" t="s">
        <v>730</v>
      </c>
      <c r="E11">
        <v>950728</v>
      </c>
      <c r="F11">
        <v>1045210</v>
      </c>
      <c r="I11">
        <v>441951.05950732902</v>
      </c>
      <c r="J11">
        <v>516246.71416658902</v>
      </c>
      <c r="K11">
        <v>368324.87456658098</v>
      </c>
      <c r="L11">
        <v>660318.77083299402</v>
      </c>
      <c r="M11">
        <v>783386.83105018106</v>
      </c>
      <c r="N11">
        <v>523951.11246679898</v>
      </c>
      <c r="O11">
        <v>798278.81010754511</v>
      </c>
      <c r="P11">
        <v>944196.91839484207</v>
      </c>
      <c r="Q11">
        <v>610462.29240287608</v>
      </c>
      <c r="R11">
        <v>923899.22975960397</v>
      </c>
      <c r="S11">
        <v>1052269.6367329101</v>
      </c>
      <c r="T11">
        <v>703816.86399715696</v>
      </c>
      <c r="U11" s="88"/>
      <c r="W11" t="s">
        <v>730</v>
      </c>
      <c r="AB11">
        <v>3886067</v>
      </c>
      <c r="AC11">
        <v>4529329</v>
      </c>
      <c r="AD11">
        <v>3246959</v>
      </c>
      <c r="AE11">
        <v>5685173</v>
      </c>
      <c r="AF11">
        <v>6596931</v>
      </c>
      <c r="AG11">
        <v>4553325</v>
      </c>
      <c r="AH11">
        <v>6765811</v>
      </c>
      <c r="AI11">
        <v>7935454</v>
      </c>
      <c r="AJ11">
        <v>5265464</v>
      </c>
      <c r="AK11">
        <v>7765302</v>
      </c>
      <c r="AL11">
        <v>8845969</v>
      </c>
      <c r="AM11">
        <v>6042316</v>
      </c>
      <c r="AO11" s="128"/>
      <c r="AP11" t="s">
        <v>1694</v>
      </c>
      <c r="AQ11" t="s">
        <v>1692</v>
      </c>
      <c r="AU11" s="72">
        <v>10628</v>
      </c>
      <c r="AV11" s="72">
        <v>11819.650090942681</v>
      </c>
      <c r="AW11" s="72">
        <v>13204.962614057909</v>
      </c>
      <c r="AX11" s="72">
        <v>10717.957770112296</v>
      </c>
      <c r="AY11" s="72">
        <v>15631.037523935574</v>
      </c>
      <c r="AZ11" s="72">
        <v>18193.343024707017</v>
      </c>
      <c r="BA11" s="72">
        <v>13187.691548413273</v>
      </c>
      <c r="BB11" s="72">
        <v>18878.812628725587</v>
      </c>
      <c r="BC11" s="72">
        <v>21794.501803335115</v>
      </c>
      <c r="BD11" s="72">
        <v>14767.511223249807</v>
      </c>
      <c r="BE11" s="72">
        <v>21520.475100509491</v>
      </c>
      <c r="BF11" s="72">
        <v>23844.31477962905</v>
      </c>
      <c r="BG11" s="72">
        <v>16502.611053153505</v>
      </c>
      <c r="BJ11" t="s">
        <v>1694</v>
      </c>
      <c r="BK11" t="s">
        <v>1692</v>
      </c>
      <c r="BO11">
        <v>9109.0955446932476</v>
      </c>
      <c r="BP11">
        <v>10627.255635975529</v>
      </c>
      <c r="BQ11">
        <v>12140.552394880448</v>
      </c>
      <c r="BR11">
        <v>9618.7531514112961</v>
      </c>
      <c r="BS11">
        <v>14872.919192225821</v>
      </c>
      <c r="BT11">
        <v>17675.241070450262</v>
      </c>
      <c r="BU11">
        <v>11973.610445110977</v>
      </c>
      <c r="BV11">
        <v>18354.665115528609</v>
      </c>
      <c r="BW11">
        <v>21053.136074705839</v>
      </c>
      <c r="BX11">
        <v>13453.978918992634</v>
      </c>
      <c r="BY11">
        <v>20576.338290718828</v>
      </c>
      <c r="BZ11">
        <v>23121.083087356772</v>
      </c>
      <c r="CA11">
        <v>15267.321880390537</v>
      </c>
      <c r="CB11" s="85"/>
      <c r="CC11" s="85"/>
    </row>
    <row r="12" spans="1:81">
      <c r="D12" t="s">
        <v>221</v>
      </c>
      <c r="E12">
        <v>646675</v>
      </c>
      <c r="F12">
        <v>669725</v>
      </c>
      <c r="G12">
        <v>669374</v>
      </c>
      <c r="H12">
        <v>274508</v>
      </c>
      <c r="I12">
        <v>284461.31813055399</v>
      </c>
      <c r="J12">
        <v>325948.93087545899</v>
      </c>
      <c r="K12">
        <v>248276.77208855102</v>
      </c>
      <c r="L12">
        <v>468557.518342569</v>
      </c>
      <c r="M12">
        <v>540935.24691286497</v>
      </c>
      <c r="N12">
        <v>386145.57792908303</v>
      </c>
      <c r="O12">
        <v>549500.01506269805</v>
      </c>
      <c r="P12">
        <v>632585.965284782</v>
      </c>
      <c r="Q12">
        <v>434576.32213553501</v>
      </c>
      <c r="R12">
        <v>624357.868640456</v>
      </c>
      <c r="S12">
        <v>685466.77296500397</v>
      </c>
      <c r="T12">
        <v>483775.23515683296</v>
      </c>
      <c r="U12" s="88"/>
      <c r="W12" t="s">
        <v>221</v>
      </c>
      <c r="X12">
        <v>1665677.9339999999</v>
      </c>
      <c r="Y12">
        <v>1709063.135</v>
      </c>
      <c r="Z12">
        <v>1780648.2306000001</v>
      </c>
      <c r="AA12">
        <v>716778.00190000015</v>
      </c>
      <c r="AB12">
        <v>735380</v>
      </c>
      <c r="AC12">
        <v>853667</v>
      </c>
      <c r="AD12">
        <v>635075</v>
      </c>
      <c r="AE12">
        <v>1163853</v>
      </c>
      <c r="AF12">
        <v>1343385</v>
      </c>
      <c r="AG12">
        <v>954869</v>
      </c>
      <c r="AH12">
        <v>1368920</v>
      </c>
      <c r="AI12">
        <v>1583685</v>
      </c>
      <c r="AJ12">
        <v>1076193</v>
      </c>
      <c r="AK12">
        <v>1563249</v>
      </c>
      <c r="AL12">
        <v>1718738</v>
      </c>
      <c r="AM12">
        <v>1200617</v>
      </c>
      <c r="AO12" s="128"/>
      <c r="AP12" t="s">
        <v>1695</v>
      </c>
      <c r="AQ12" t="s">
        <v>1693</v>
      </c>
      <c r="AU12" s="72">
        <v>15222</v>
      </c>
      <c r="AV12" s="72">
        <v>21383.587867533148</v>
      </c>
      <c r="AW12" s="72">
        <v>23736.82391983769</v>
      </c>
      <c r="AX12" s="72">
        <v>19487.526283592375</v>
      </c>
      <c r="AY12" s="72">
        <v>28890.350761212543</v>
      </c>
      <c r="AZ12" s="72">
        <v>33450.212986357241</v>
      </c>
      <c r="BA12" s="72">
        <v>24405.940848185492</v>
      </c>
      <c r="BB12" s="72">
        <v>34805.990229660012</v>
      </c>
      <c r="BC12" s="72">
        <v>40008.241373201352</v>
      </c>
      <c r="BD12" s="72">
        <v>27316.246175395001</v>
      </c>
      <c r="BE12" s="72">
        <v>39813.545775897604</v>
      </c>
      <c r="BF12" s="72">
        <v>44038.302333583946</v>
      </c>
      <c r="BG12" s="72">
        <v>30545.417172511068</v>
      </c>
      <c r="BJ12" t="s">
        <v>1695</v>
      </c>
      <c r="BK12" t="s">
        <v>1693</v>
      </c>
      <c r="BO12">
        <v>11596.488057460059</v>
      </c>
      <c r="BP12">
        <v>18599.836946881755</v>
      </c>
      <c r="BQ12">
        <v>22086.044830335843</v>
      </c>
      <c r="BR12">
        <v>16396.924176649616</v>
      </c>
      <c r="BS12">
        <v>28503.515093046197</v>
      </c>
      <c r="BT12">
        <v>34027.404256420436</v>
      </c>
      <c r="BU12">
        <v>22752.535747190355</v>
      </c>
      <c r="BV12">
        <v>35465.577928341809</v>
      </c>
      <c r="BW12">
        <v>41885.809542202842</v>
      </c>
      <c r="BX12">
        <v>26103.262663732778</v>
      </c>
      <c r="BY12">
        <v>41420.124618338159</v>
      </c>
      <c r="BZ12">
        <v>46955.89299342945</v>
      </c>
      <c r="CA12">
        <v>29728.18162430956</v>
      </c>
      <c r="CB12" s="85"/>
      <c r="CC12" s="85"/>
    </row>
    <row r="13" spans="1:81">
      <c r="D13" t="s">
        <v>220</v>
      </c>
      <c r="E13">
        <v>1061385</v>
      </c>
      <c r="F13">
        <v>1089896</v>
      </c>
      <c r="I13">
        <v>442843.92469438596</v>
      </c>
      <c r="J13">
        <v>505419.05750692496</v>
      </c>
      <c r="K13">
        <v>392943.23875440599</v>
      </c>
      <c r="L13">
        <v>727020.45699574205</v>
      </c>
      <c r="M13">
        <v>837781.19418360002</v>
      </c>
      <c r="N13">
        <v>606648.02992983197</v>
      </c>
      <c r="O13">
        <v>850604.49749694997</v>
      </c>
      <c r="P13">
        <v>976135.43751125806</v>
      </c>
      <c r="Q13">
        <v>679349.85980239697</v>
      </c>
      <c r="R13">
        <v>964134.80442621303</v>
      </c>
      <c r="S13">
        <v>1057097.5607262501</v>
      </c>
      <c r="T13">
        <v>754854.39254484198</v>
      </c>
      <c r="U13" s="88"/>
      <c r="W13" t="s">
        <v>220</v>
      </c>
      <c r="AB13">
        <v>2472409</v>
      </c>
      <c r="AC13">
        <v>2850505</v>
      </c>
      <c r="AD13">
        <v>2175621</v>
      </c>
      <c r="AE13">
        <v>3828172</v>
      </c>
      <c r="AF13">
        <v>4381432</v>
      </c>
      <c r="AG13">
        <v>3196404</v>
      </c>
      <c r="AH13">
        <v>4475511</v>
      </c>
      <c r="AI13">
        <v>5135002</v>
      </c>
      <c r="AJ13">
        <v>3577584</v>
      </c>
      <c r="AK13">
        <v>5082137</v>
      </c>
      <c r="AL13">
        <v>5568038</v>
      </c>
      <c r="AM13">
        <v>3974388</v>
      </c>
      <c r="AO13" s="128"/>
      <c r="AP13" t="s">
        <v>1500</v>
      </c>
      <c r="AQ13" t="s">
        <v>939</v>
      </c>
      <c r="AR13">
        <v>39675</v>
      </c>
      <c r="AS13">
        <v>41541</v>
      </c>
      <c r="AT13">
        <v>40449</v>
      </c>
      <c r="AU13" s="72"/>
      <c r="AV13" s="72"/>
      <c r="AW13" s="72"/>
      <c r="AX13" s="72"/>
      <c r="AY13" s="72"/>
      <c r="AZ13" s="72"/>
      <c r="BA13" s="72"/>
      <c r="BB13" s="72"/>
      <c r="BC13" s="72"/>
      <c r="BD13" s="72"/>
      <c r="BE13" s="72"/>
      <c r="BF13" s="72"/>
      <c r="BG13" s="72"/>
      <c r="BJ13" t="s">
        <v>1500</v>
      </c>
      <c r="BK13" t="s">
        <v>939</v>
      </c>
      <c r="BL13">
        <v>54225.404677999999</v>
      </c>
      <c r="BM13">
        <v>56667.716920999999</v>
      </c>
      <c r="BN13">
        <v>55807.730178999998</v>
      </c>
      <c r="CB13" s="85"/>
      <c r="CC13" s="85"/>
    </row>
    <row r="14" spans="1:81">
      <c r="D14" t="s">
        <v>16</v>
      </c>
      <c r="E14">
        <v>215439</v>
      </c>
      <c r="F14">
        <v>231685</v>
      </c>
      <c r="G14">
        <v>228732</v>
      </c>
      <c r="H14">
        <v>97128</v>
      </c>
      <c r="I14">
        <v>95130.472129043395</v>
      </c>
      <c r="J14">
        <v>108800.28683892101</v>
      </c>
      <c r="K14">
        <v>83826.224386938804</v>
      </c>
      <c r="L14">
        <v>157732.14626827801</v>
      </c>
      <c r="M14">
        <v>176758.36718450501</v>
      </c>
      <c r="N14">
        <v>126017.48068214</v>
      </c>
      <c r="O14">
        <v>181771.630660478</v>
      </c>
      <c r="P14">
        <v>209762.511091566</v>
      </c>
      <c r="Q14">
        <v>146003.949906883</v>
      </c>
      <c r="R14">
        <v>207601.41316192201</v>
      </c>
      <c r="S14">
        <v>224331.16430265101</v>
      </c>
      <c r="T14">
        <v>165155.927490559</v>
      </c>
      <c r="U14" s="88"/>
      <c r="W14" t="s">
        <v>16</v>
      </c>
      <c r="X14">
        <v>865652.94826203305</v>
      </c>
      <c r="Y14">
        <v>919794.98109999998</v>
      </c>
      <c r="Z14">
        <v>900911.46049999993</v>
      </c>
      <c r="AA14">
        <v>418748.50189999997</v>
      </c>
      <c r="AB14">
        <v>416379</v>
      </c>
      <c r="AC14">
        <v>474036</v>
      </c>
      <c r="AD14">
        <v>368316</v>
      </c>
      <c r="AE14">
        <v>619047</v>
      </c>
      <c r="AF14">
        <v>676483</v>
      </c>
      <c r="AG14">
        <v>510000</v>
      </c>
      <c r="AH14">
        <v>697284</v>
      </c>
      <c r="AI14">
        <v>797541</v>
      </c>
      <c r="AJ14">
        <v>574691</v>
      </c>
      <c r="AK14">
        <v>791542</v>
      </c>
      <c r="AL14">
        <v>855329</v>
      </c>
      <c r="AM14">
        <v>640437</v>
      </c>
      <c r="AO14" s="128"/>
      <c r="AP14" t="s">
        <v>1501</v>
      </c>
      <c r="AQ14" t="s">
        <v>941</v>
      </c>
      <c r="AR14">
        <v>81588</v>
      </c>
      <c r="AS14">
        <v>84892</v>
      </c>
      <c r="AT14">
        <v>83234</v>
      </c>
      <c r="AU14" s="72">
        <v>30501</v>
      </c>
      <c r="AV14" s="72">
        <v>36454.693688993459</v>
      </c>
      <c r="AW14" s="72">
        <v>41214.000067336245</v>
      </c>
      <c r="AX14" s="72">
        <v>32543.465786032422</v>
      </c>
      <c r="AY14" s="72">
        <v>59150.927704587884</v>
      </c>
      <c r="AZ14" s="72">
        <v>68807.248778775116</v>
      </c>
      <c r="BA14" s="72">
        <v>47402.111394398009</v>
      </c>
      <c r="BB14" s="72">
        <v>70783.144509156598</v>
      </c>
      <c r="BC14" s="72">
        <v>82315.034113627451</v>
      </c>
      <c r="BD14" s="72">
        <v>54098.669180096942</v>
      </c>
      <c r="BE14" s="72">
        <v>82086.809251999381</v>
      </c>
      <c r="BF14" s="72">
        <v>91192.677433892575</v>
      </c>
      <c r="BG14" s="72">
        <v>61817.691223965776</v>
      </c>
      <c r="BJ14" t="s">
        <v>1501</v>
      </c>
      <c r="BK14" t="s">
        <v>941</v>
      </c>
      <c r="BL14">
        <v>90406.511276999998</v>
      </c>
      <c r="BM14">
        <v>97540.294926000002</v>
      </c>
      <c r="BN14">
        <v>99036.293959259987</v>
      </c>
      <c r="BO14">
        <v>30771.486292370846</v>
      </c>
      <c r="BP14">
        <v>38012.828036165622</v>
      </c>
      <c r="BQ14">
        <v>43455.940401463602</v>
      </c>
      <c r="BR14">
        <v>33534.993698801925</v>
      </c>
      <c r="BS14">
        <v>67390.520743523142</v>
      </c>
      <c r="BT14">
        <v>81188.788566853735</v>
      </c>
      <c r="BU14">
        <v>52062.213520663478</v>
      </c>
      <c r="BV14">
        <v>83551.392836678991</v>
      </c>
      <c r="BW14">
        <v>98821.868123189503</v>
      </c>
      <c r="BX14">
        <v>61473.141951574275</v>
      </c>
      <c r="BY14">
        <v>98695.408415990096</v>
      </c>
      <c r="BZ14">
        <v>111028.89148449234</v>
      </c>
      <c r="CA14">
        <v>71957.343742223791</v>
      </c>
      <c r="CB14" s="85"/>
      <c r="CC14" s="85"/>
    </row>
    <row r="15" spans="1:81">
      <c r="D15" t="s">
        <v>1</v>
      </c>
      <c r="E15">
        <v>2153020</v>
      </c>
      <c r="F15">
        <v>2311471</v>
      </c>
      <c r="I15">
        <v>974581.39229623799</v>
      </c>
      <c r="J15">
        <v>1141506.8581700099</v>
      </c>
      <c r="K15">
        <v>810409.98162635998</v>
      </c>
      <c r="L15">
        <v>1563054.9046593399</v>
      </c>
      <c r="M15">
        <v>1862125.8700935801</v>
      </c>
      <c r="N15">
        <v>1217399.75500643</v>
      </c>
      <c r="O15">
        <v>1865870.5956657899</v>
      </c>
      <c r="P15">
        <v>2202285.2840323099</v>
      </c>
      <c r="Q15">
        <v>1401631.3011195399</v>
      </c>
      <c r="R15">
        <v>2144994.7587381001</v>
      </c>
      <c r="S15">
        <v>2413122.4069460798</v>
      </c>
      <c r="T15">
        <v>1597165.32671064</v>
      </c>
      <c r="U15" s="88"/>
      <c r="W15" t="s">
        <v>1</v>
      </c>
      <c r="AB15">
        <v>6454772</v>
      </c>
      <c r="AC15">
        <v>7584118</v>
      </c>
      <c r="AD15">
        <v>5396186</v>
      </c>
      <c r="AE15">
        <v>9940469</v>
      </c>
      <c r="AF15">
        <v>11834388</v>
      </c>
      <c r="AG15">
        <v>7828832</v>
      </c>
      <c r="AH15">
        <v>11936385</v>
      </c>
      <c r="AI15">
        <v>14094644</v>
      </c>
      <c r="AJ15">
        <v>9021959</v>
      </c>
      <c r="AK15">
        <v>13723443</v>
      </c>
      <c r="AL15">
        <v>15496078</v>
      </c>
      <c r="AM15">
        <v>10290129</v>
      </c>
      <c r="AO15" s="128"/>
      <c r="AP15" t="s">
        <v>1502</v>
      </c>
      <c r="AQ15" t="s">
        <v>942</v>
      </c>
      <c r="AR15">
        <v>129517</v>
      </c>
      <c r="AS15">
        <v>132967</v>
      </c>
      <c r="AT15">
        <v>131625</v>
      </c>
      <c r="AU15" s="72">
        <v>49097</v>
      </c>
      <c r="AV15" s="72">
        <v>52741.519088123634</v>
      </c>
      <c r="AW15" s="72">
        <v>60036.370177489225</v>
      </c>
      <c r="AX15" s="72">
        <v>46603.004280641231</v>
      </c>
      <c r="AY15" s="72">
        <v>92090.310827559151</v>
      </c>
      <c r="AZ15" s="72">
        <v>106882.93520194381</v>
      </c>
      <c r="BA15" s="72">
        <v>77393.201180926393</v>
      </c>
      <c r="BB15" s="72">
        <v>108054.10682532255</v>
      </c>
      <c r="BC15" s="72">
        <v>124002.87897889862</v>
      </c>
      <c r="BD15" s="72">
        <v>86435.954472686455</v>
      </c>
      <c r="BE15" s="72">
        <v>122680.89072990349</v>
      </c>
      <c r="BF15" s="72">
        <v>135225.85582274859</v>
      </c>
      <c r="BG15" s="72">
        <v>96039.879359990678</v>
      </c>
      <c r="BJ15" t="s">
        <v>1502</v>
      </c>
      <c r="BK15" t="s">
        <v>942</v>
      </c>
      <c r="BL15">
        <v>165019.57375000001</v>
      </c>
      <c r="BM15">
        <v>171646.18101</v>
      </c>
      <c r="BN15">
        <v>171748.6917</v>
      </c>
      <c r="BO15">
        <v>63465.131266863347</v>
      </c>
      <c r="BP15">
        <v>64296.861396174027</v>
      </c>
      <c r="BQ15">
        <v>73910.696784228392</v>
      </c>
      <c r="BR15">
        <v>56514.69455570334</v>
      </c>
      <c r="BS15">
        <v>116258.01137138699</v>
      </c>
      <c r="BT15">
        <v>136679.10374766597</v>
      </c>
      <c r="BU15">
        <v>96162.071534459887</v>
      </c>
      <c r="BV15">
        <v>139826.36453149444</v>
      </c>
      <c r="BW15">
        <v>163302.96058591144</v>
      </c>
      <c r="BX15">
        <v>109507.94937045772</v>
      </c>
      <c r="BY15">
        <v>161611.51884152586</v>
      </c>
      <c r="BZ15">
        <v>179607.26548776406</v>
      </c>
      <c r="CA15">
        <v>121661.4772565031</v>
      </c>
      <c r="CB15" s="85"/>
      <c r="CC15" s="85"/>
    </row>
    <row r="16" spans="1:81">
      <c r="D16" t="s">
        <v>8</v>
      </c>
      <c r="E16">
        <v>6047895</v>
      </c>
      <c r="F16">
        <v>6237721</v>
      </c>
      <c r="I16">
        <v>2755042.4925290002</v>
      </c>
      <c r="J16">
        <v>3201481.9752958599</v>
      </c>
      <c r="K16">
        <v>2296803.8430734202</v>
      </c>
      <c r="L16">
        <v>4266596.20630119</v>
      </c>
      <c r="M16">
        <v>5066788.1025104597</v>
      </c>
      <c r="N16">
        <v>3364795.6675928701</v>
      </c>
      <c r="O16">
        <v>5028089.5271606501</v>
      </c>
      <c r="P16">
        <v>5891058.7369310204</v>
      </c>
      <c r="Q16">
        <v>3796774.8489152398</v>
      </c>
      <c r="R16">
        <v>5698852.7239421504</v>
      </c>
      <c r="S16">
        <v>6404578.5056892</v>
      </c>
      <c r="T16">
        <v>4243850.3153065303</v>
      </c>
      <c r="U16" s="88"/>
      <c r="W16" t="s">
        <v>8</v>
      </c>
      <c r="AB16">
        <v>19231267</v>
      </c>
      <c r="AC16">
        <v>22633167</v>
      </c>
      <c r="AD16">
        <v>15925293</v>
      </c>
      <c r="AE16">
        <v>31033801</v>
      </c>
      <c r="AF16">
        <v>37437192</v>
      </c>
      <c r="AG16">
        <v>24037712</v>
      </c>
      <c r="AH16">
        <v>37330415</v>
      </c>
      <c r="AI16">
        <v>44107014</v>
      </c>
      <c r="AJ16">
        <v>27625607</v>
      </c>
      <c r="AK16">
        <v>42766207</v>
      </c>
      <c r="AL16">
        <v>48287725</v>
      </c>
      <c r="AM16">
        <v>31243126</v>
      </c>
      <c r="AO16" s="128"/>
      <c r="AP16" t="s">
        <v>1503</v>
      </c>
      <c r="AQ16" t="s">
        <v>943</v>
      </c>
      <c r="AR16">
        <v>24874</v>
      </c>
      <c r="AS16">
        <v>23239</v>
      </c>
      <c r="AT16">
        <v>22773</v>
      </c>
      <c r="AU16" s="72">
        <v>10040</v>
      </c>
      <c r="AV16" s="72">
        <v>11114.46912533573</v>
      </c>
      <c r="AW16" s="72">
        <v>12338.539702484828</v>
      </c>
      <c r="AX16" s="72">
        <v>9955.2493383941037</v>
      </c>
      <c r="AY16" s="72">
        <v>16270.730997576962</v>
      </c>
      <c r="AZ16" s="72">
        <v>18791.284050131242</v>
      </c>
      <c r="BA16" s="72">
        <v>13582.303766409354</v>
      </c>
      <c r="BB16" s="72">
        <v>18943.59229369674</v>
      </c>
      <c r="BC16" s="72">
        <v>21777.414922460306</v>
      </c>
      <c r="BD16" s="72">
        <v>15112.469305212941</v>
      </c>
      <c r="BE16" s="72">
        <v>21508.812860606453</v>
      </c>
      <c r="BF16" s="72">
        <v>23606.647509197865</v>
      </c>
      <c r="BG16" s="72">
        <v>16849.176453613087</v>
      </c>
      <c r="BJ16" t="s">
        <v>1503</v>
      </c>
      <c r="BK16" t="s">
        <v>943</v>
      </c>
      <c r="BL16">
        <v>18321.251231999999</v>
      </c>
      <c r="BM16">
        <v>19373.359477999998</v>
      </c>
      <c r="BN16">
        <v>19604.134565289998</v>
      </c>
      <c r="BO16">
        <v>8201.1799695965219</v>
      </c>
      <c r="BP16">
        <v>9132.780730364515</v>
      </c>
      <c r="BQ16">
        <v>10554.482334716158</v>
      </c>
      <c r="BR16">
        <v>8193.8467634773078</v>
      </c>
      <c r="BS16">
        <v>13715.050688287676</v>
      </c>
      <c r="BT16">
        <v>16154.240716925175</v>
      </c>
      <c r="BU16">
        <v>11239.023327703846</v>
      </c>
      <c r="BV16">
        <v>16234.179592170671</v>
      </c>
      <c r="BW16">
        <v>18766.894584685153</v>
      </c>
      <c r="BX16">
        <v>12316.005984955173</v>
      </c>
      <c r="BY16">
        <v>18376.415370995721</v>
      </c>
      <c r="BZ16">
        <v>20605.11062734227</v>
      </c>
      <c r="CA16">
        <v>13936.941917693242</v>
      </c>
      <c r="CB16" s="85"/>
      <c r="CC16" s="85"/>
    </row>
    <row r="17" spans="4:81">
      <c r="D17" t="s">
        <v>17</v>
      </c>
      <c r="E17">
        <v>262574</v>
      </c>
      <c r="F17">
        <v>282791</v>
      </c>
      <c r="G17">
        <v>285190</v>
      </c>
      <c r="H17">
        <v>119053</v>
      </c>
      <c r="I17">
        <v>121311.426379205</v>
      </c>
      <c r="J17">
        <v>137749.36399933</v>
      </c>
      <c r="K17">
        <v>111487.066710799</v>
      </c>
      <c r="L17">
        <v>203194.603335119</v>
      </c>
      <c r="M17">
        <v>231333.87602462698</v>
      </c>
      <c r="N17">
        <v>167476.23712497999</v>
      </c>
      <c r="O17">
        <v>230242.542606709</v>
      </c>
      <c r="P17">
        <v>263255.34987191902</v>
      </c>
      <c r="Q17">
        <v>188010.20249676701</v>
      </c>
      <c r="R17">
        <v>259625.04667862901</v>
      </c>
      <c r="S17">
        <v>282814.18589856901</v>
      </c>
      <c r="T17">
        <v>208470.73900452102</v>
      </c>
      <c r="U17" s="88"/>
      <c r="W17" t="s">
        <v>17</v>
      </c>
      <c r="X17">
        <v>848429.84470000002</v>
      </c>
      <c r="Y17">
        <v>940207.80989999999</v>
      </c>
      <c r="Z17">
        <v>1010678.5124</v>
      </c>
      <c r="AA17">
        <v>462057.63619999995</v>
      </c>
      <c r="AB17">
        <v>447976</v>
      </c>
      <c r="AC17">
        <v>517514</v>
      </c>
      <c r="AD17">
        <v>412301</v>
      </c>
      <c r="AE17">
        <v>766364</v>
      </c>
      <c r="AF17">
        <v>879029</v>
      </c>
      <c r="AG17">
        <v>632221</v>
      </c>
      <c r="AH17">
        <v>904072</v>
      </c>
      <c r="AI17">
        <v>1032099</v>
      </c>
      <c r="AJ17">
        <v>736303</v>
      </c>
      <c r="AK17">
        <v>1028742</v>
      </c>
      <c r="AL17">
        <v>1109481</v>
      </c>
      <c r="AM17">
        <v>829064</v>
      </c>
      <c r="AO17" s="128"/>
      <c r="AP17" t="s">
        <v>1504</v>
      </c>
      <c r="AQ17" t="s">
        <v>944</v>
      </c>
      <c r="AR17">
        <v>87881</v>
      </c>
      <c r="AS17">
        <v>95602</v>
      </c>
      <c r="AT17">
        <v>96802</v>
      </c>
      <c r="AU17" s="72">
        <v>36386</v>
      </c>
      <c r="AV17" s="72">
        <v>37801.423244532183</v>
      </c>
      <c r="AW17" s="72">
        <v>43183.070855192062</v>
      </c>
      <c r="AX17" s="72">
        <v>34487.643487383277</v>
      </c>
      <c r="AY17" s="72">
        <v>67280.914790377632</v>
      </c>
      <c r="AZ17" s="72">
        <v>78365.821191345385</v>
      </c>
      <c r="BA17" s="72">
        <v>54303.82056530047</v>
      </c>
      <c r="BB17" s="72">
        <v>75974.089790603626</v>
      </c>
      <c r="BC17" s="72">
        <v>87972.831127662721</v>
      </c>
      <c r="BD17" s="72">
        <v>60627.731367891181</v>
      </c>
      <c r="BE17" s="72">
        <v>86044.205686612753</v>
      </c>
      <c r="BF17" s="72">
        <v>95004.135767900108</v>
      </c>
      <c r="BG17" s="72">
        <v>67377.74255811506</v>
      </c>
      <c r="BJ17" t="s">
        <v>1504</v>
      </c>
      <c r="BK17" t="s">
        <v>944</v>
      </c>
      <c r="BL17">
        <v>108789.31984</v>
      </c>
      <c r="BM17">
        <v>120914.28048</v>
      </c>
      <c r="BN17">
        <v>124927.12656999999</v>
      </c>
      <c r="BO17">
        <v>44088.166873767579</v>
      </c>
      <c r="BP17">
        <v>44026.776401430536</v>
      </c>
      <c r="BQ17">
        <v>51886.15739037795</v>
      </c>
      <c r="BR17">
        <v>39500.900645606453</v>
      </c>
      <c r="BS17">
        <v>83740.061081416978</v>
      </c>
      <c r="BT17">
        <v>100412.85574349696</v>
      </c>
      <c r="BU17">
        <v>65155.856457326139</v>
      </c>
      <c r="BV17">
        <v>96147.223700307819</v>
      </c>
      <c r="BW17">
        <v>114903.25465511439</v>
      </c>
      <c r="BX17">
        <v>74051.2519290419</v>
      </c>
      <c r="BY17">
        <v>112723.9935367423</v>
      </c>
      <c r="BZ17">
        <v>126322.62511265749</v>
      </c>
      <c r="CA17">
        <v>83498.604345992208</v>
      </c>
      <c r="CB17" s="85"/>
      <c r="CC17" s="85"/>
    </row>
    <row r="18" spans="4:81">
      <c r="D18" t="s">
        <v>10</v>
      </c>
      <c r="E18">
        <v>3241079</v>
      </c>
      <c r="F18">
        <v>3327909</v>
      </c>
      <c r="G18">
        <v>3371771</v>
      </c>
      <c r="H18">
        <v>1389815</v>
      </c>
      <c r="I18">
        <v>1519666.5743372401</v>
      </c>
      <c r="J18">
        <v>1766688.0863369501</v>
      </c>
      <c r="K18">
        <v>1265919.6058666799</v>
      </c>
      <c r="L18">
        <v>2406061.8834124398</v>
      </c>
      <c r="M18">
        <v>2862578.7253385698</v>
      </c>
      <c r="N18">
        <v>1876657.50139802</v>
      </c>
      <c r="O18">
        <v>2838635.2541854</v>
      </c>
      <c r="P18">
        <v>3342169.7556200302</v>
      </c>
      <c r="Q18">
        <v>2126525.4147544499</v>
      </c>
      <c r="R18">
        <v>3219272.4817552599</v>
      </c>
      <c r="S18">
        <v>3650267.6385814198</v>
      </c>
      <c r="T18">
        <v>2381097.3069194201</v>
      </c>
      <c r="U18" s="88"/>
      <c r="W18" t="s">
        <v>10</v>
      </c>
      <c r="X18">
        <v>20862128.941</v>
      </c>
      <c r="Y18">
        <v>21449866.8237</v>
      </c>
      <c r="Z18">
        <v>21782107.699099999</v>
      </c>
      <c r="AA18">
        <v>8547246.3732000012</v>
      </c>
      <c r="AB18">
        <v>9186013</v>
      </c>
      <c r="AC18">
        <v>10848904</v>
      </c>
      <c r="AD18">
        <v>7571105</v>
      </c>
      <c r="AE18">
        <v>15581787</v>
      </c>
      <c r="AF18">
        <v>18993800</v>
      </c>
      <c r="AG18">
        <v>11858673</v>
      </c>
      <c r="AH18">
        <v>18888484</v>
      </c>
      <c r="AI18">
        <v>22501929</v>
      </c>
      <c r="AJ18">
        <v>13774487</v>
      </c>
      <c r="AK18">
        <v>21710040</v>
      </c>
      <c r="AL18">
        <v>24734970</v>
      </c>
      <c r="AM18">
        <v>15669997</v>
      </c>
      <c r="AO18" s="128"/>
      <c r="AP18" t="s">
        <v>765</v>
      </c>
      <c r="AQ18" t="s">
        <v>945</v>
      </c>
      <c r="AR18">
        <v>357422</v>
      </c>
      <c r="AS18">
        <v>360563</v>
      </c>
      <c r="AT18">
        <v>363265</v>
      </c>
      <c r="AU18" s="72">
        <v>152724</v>
      </c>
      <c r="AV18" s="72">
        <v>156974.3404180799</v>
      </c>
      <c r="AW18" s="72">
        <v>183876.71848942403</v>
      </c>
      <c r="AX18" s="72">
        <v>131652.19981406021</v>
      </c>
      <c r="AY18" s="72">
        <v>251911.17389368924</v>
      </c>
      <c r="AZ18" s="72">
        <v>297974.10973296466</v>
      </c>
      <c r="BA18" s="72">
        <v>205085.30181651493</v>
      </c>
      <c r="BB18" s="72">
        <v>299399.54961538332</v>
      </c>
      <c r="BC18" s="72">
        <v>351630.57192043663</v>
      </c>
      <c r="BD18" s="72">
        <v>231282.27601676699</v>
      </c>
      <c r="BE18" s="72">
        <v>339120.21801802551</v>
      </c>
      <c r="BF18" s="72">
        <v>383201.44896461198</v>
      </c>
      <c r="BG18" s="72">
        <v>259425.43040249991</v>
      </c>
      <c r="BJ18" t="s">
        <v>765</v>
      </c>
      <c r="BK18" t="s">
        <v>945</v>
      </c>
      <c r="BL18">
        <v>581132.05952999997</v>
      </c>
      <c r="BM18">
        <v>593718.13190000004</v>
      </c>
      <c r="BN18">
        <v>603663.78110000002</v>
      </c>
      <c r="BO18">
        <v>267088.34554363717</v>
      </c>
      <c r="BP18">
        <v>255854.67066346892</v>
      </c>
      <c r="BQ18">
        <v>300324.57536790601</v>
      </c>
      <c r="BR18">
        <v>217302.31304334346</v>
      </c>
      <c r="BS18">
        <v>412263.40480116761</v>
      </c>
      <c r="BT18">
        <v>485024.13417472597</v>
      </c>
      <c r="BU18">
        <v>338175.36914737098</v>
      </c>
      <c r="BV18">
        <v>496078.01770462154</v>
      </c>
      <c r="BW18">
        <v>581128.25142979098</v>
      </c>
      <c r="BX18">
        <v>390526.02662691916</v>
      </c>
      <c r="BY18">
        <v>564757.42355181533</v>
      </c>
      <c r="BZ18">
        <v>646668.5493237006</v>
      </c>
      <c r="CA18">
        <v>443422.60581093183</v>
      </c>
      <c r="CB18" s="85"/>
      <c r="CC18" s="85"/>
    </row>
    <row r="19" spans="4:81">
      <c r="D19" t="s">
        <v>11</v>
      </c>
      <c r="E19">
        <v>3259112</v>
      </c>
      <c r="F19">
        <v>3403625</v>
      </c>
      <c r="G19">
        <v>3393743</v>
      </c>
      <c r="H19">
        <v>1479122</v>
      </c>
      <c r="I19">
        <v>1529396.3424011201</v>
      </c>
      <c r="J19">
        <v>1771568.03279909</v>
      </c>
      <c r="K19">
        <v>1283186.70178896</v>
      </c>
      <c r="L19">
        <v>2306918.0171634499</v>
      </c>
      <c r="M19">
        <v>2740440.3828393701</v>
      </c>
      <c r="N19">
        <v>1838971.2222285201</v>
      </c>
      <c r="O19">
        <v>2724234.79389572</v>
      </c>
      <c r="P19">
        <v>3180144.6785622099</v>
      </c>
      <c r="Q19">
        <v>2070009.31667368</v>
      </c>
      <c r="R19">
        <v>3085109.70551955</v>
      </c>
      <c r="S19">
        <v>3447490.5053966502</v>
      </c>
      <c r="T19">
        <v>2310957.3653936302</v>
      </c>
      <c r="U19" s="88"/>
      <c r="W19" t="s">
        <v>11</v>
      </c>
      <c r="X19">
        <v>14374174.673800001</v>
      </c>
      <c r="Y19">
        <v>14989180.9111</v>
      </c>
      <c r="Z19">
        <v>15180481.726600002</v>
      </c>
      <c r="AA19">
        <v>6886812.0126</v>
      </c>
      <c r="AB19">
        <v>6818081</v>
      </c>
      <c r="AC19">
        <v>7981256</v>
      </c>
      <c r="AD19">
        <v>5685681</v>
      </c>
      <c r="AE19">
        <v>10371406</v>
      </c>
      <c r="AF19">
        <v>12336120</v>
      </c>
      <c r="AG19">
        <v>8224390</v>
      </c>
      <c r="AH19">
        <v>12365584</v>
      </c>
      <c r="AI19">
        <v>14428691</v>
      </c>
      <c r="AJ19">
        <v>9335075</v>
      </c>
      <c r="AK19">
        <v>14084693</v>
      </c>
      <c r="AL19">
        <v>15713098</v>
      </c>
      <c r="AM19">
        <v>10483121</v>
      </c>
      <c r="AO19" s="128"/>
      <c r="AP19" t="s">
        <v>766</v>
      </c>
      <c r="AQ19" t="s">
        <v>946</v>
      </c>
      <c r="AR19">
        <v>566426</v>
      </c>
      <c r="AS19">
        <v>571659</v>
      </c>
      <c r="AT19">
        <v>579101</v>
      </c>
      <c r="AU19" s="72">
        <v>287081</v>
      </c>
      <c r="AV19" s="72">
        <v>323708.04731700232</v>
      </c>
      <c r="AW19" s="72">
        <v>357946.99951461516</v>
      </c>
      <c r="AX19" s="72">
        <v>285869.58305066958</v>
      </c>
      <c r="AY19" s="72">
        <v>432886.34049983247</v>
      </c>
      <c r="AZ19" s="72">
        <v>489809.45926380227</v>
      </c>
      <c r="BA19" s="72">
        <v>370635.16258833319</v>
      </c>
      <c r="BB19" s="72">
        <v>494542.45600349305</v>
      </c>
      <c r="BC19" s="72">
        <v>554162.17742729711</v>
      </c>
      <c r="BD19" s="72">
        <v>408282.45135778043</v>
      </c>
      <c r="BE19" s="72">
        <v>539930.98005219002</v>
      </c>
      <c r="BF19" s="72">
        <v>589270.36641499808</v>
      </c>
      <c r="BG19" s="72">
        <v>440520.16171837662</v>
      </c>
      <c r="BJ19" t="s">
        <v>766</v>
      </c>
      <c r="BK19" t="s">
        <v>946</v>
      </c>
      <c r="BL19">
        <v>518428.00926000002</v>
      </c>
      <c r="BM19">
        <v>527994.02541999996</v>
      </c>
      <c r="BN19">
        <v>545626.19922718895</v>
      </c>
      <c r="BO19">
        <v>244546.19995980727</v>
      </c>
      <c r="BP19">
        <v>283932.77652882435</v>
      </c>
      <c r="BQ19">
        <v>314521.88427232474</v>
      </c>
      <c r="BR19">
        <v>244423.12822459964</v>
      </c>
      <c r="BS19">
        <v>403022.21490743605</v>
      </c>
      <c r="BT19">
        <v>462368.21367496805</v>
      </c>
      <c r="BU19">
        <v>342122.38289813971</v>
      </c>
      <c r="BV19">
        <v>463479.39812608337</v>
      </c>
      <c r="BW19">
        <v>528123.51276233234</v>
      </c>
      <c r="BX19">
        <v>380882.0272927839</v>
      </c>
      <c r="BY19">
        <v>515055.99498523178</v>
      </c>
      <c r="BZ19">
        <v>566159.81590262335</v>
      </c>
      <c r="CA19">
        <v>417444.1612321178</v>
      </c>
      <c r="CB19" s="85"/>
      <c r="CC19" s="85"/>
    </row>
    <row r="20" spans="4:81">
      <c r="D20" t="s">
        <v>214</v>
      </c>
      <c r="E20">
        <v>745432</v>
      </c>
      <c r="F20">
        <v>832333</v>
      </c>
      <c r="G20">
        <v>884090</v>
      </c>
      <c r="H20">
        <v>382546</v>
      </c>
      <c r="I20">
        <v>415976.312140622</v>
      </c>
      <c r="J20">
        <v>480540.48477744096</v>
      </c>
      <c r="K20">
        <v>351577.11798533297</v>
      </c>
      <c r="L20">
        <v>610672.22210318292</v>
      </c>
      <c r="M20">
        <v>720331.95935850404</v>
      </c>
      <c r="N20">
        <v>485233.76300055103</v>
      </c>
      <c r="O20">
        <v>722755.93516932998</v>
      </c>
      <c r="P20">
        <v>850488.75064071396</v>
      </c>
      <c r="Q20">
        <v>558765.932305692</v>
      </c>
      <c r="R20">
        <v>816379.61890736397</v>
      </c>
      <c r="S20">
        <v>940749.19187592401</v>
      </c>
      <c r="T20">
        <v>636736.0512520991</v>
      </c>
      <c r="U20" s="88"/>
      <c r="W20" t="s">
        <v>214</v>
      </c>
      <c r="X20">
        <v>5158193.9703000002</v>
      </c>
      <c r="Y20">
        <v>5600105.1567000002</v>
      </c>
      <c r="Z20">
        <v>6004800.0019999985</v>
      </c>
      <c r="AA20">
        <v>2755520.7075</v>
      </c>
      <c r="AB20">
        <v>2906903</v>
      </c>
      <c r="AC20">
        <v>3405557</v>
      </c>
      <c r="AD20">
        <v>2441228</v>
      </c>
      <c r="AE20">
        <v>4261032</v>
      </c>
      <c r="AF20">
        <v>5034631</v>
      </c>
      <c r="AG20">
        <v>3385801</v>
      </c>
      <c r="AH20">
        <v>5067070</v>
      </c>
      <c r="AI20">
        <v>5988278</v>
      </c>
      <c r="AJ20">
        <v>3925570</v>
      </c>
      <c r="AK20">
        <v>5723626</v>
      </c>
      <c r="AL20">
        <v>6675904</v>
      </c>
      <c r="AM20">
        <v>4518920</v>
      </c>
      <c r="AO20" s="128"/>
      <c r="AP20" t="s">
        <v>1505</v>
      </c>
      <c r="AQ20" t="s">
        <v>947</v>
      </c>
      <c r="AR20">
        <v>1022307</v>
      </c>
      <c r="AS20">
        <v>1061513</v>
      </c>
      <c r="AT20">
        <v>1062341</v>
      </c>
      <c r="AU20" s="72">
        <v>436595</v>
      </c>
      <c r="AV20" s="72">
        <v>501220.87411799573</v>
      </c>
      <c r="AW20" s="72">
        <v>577286.89491903293</v>
      </c>
      <c r="AX20" s="72">
        <v>421724.92377881648</v>
      </c>
      <c r="AY20" s="72">
        <v>708872.05450495274</v>
      </c>
      <c r="AZ20" s="72">
        <v>849499.56554173352</v>
      </c>
      <c r="BA20" s="72">
        <v>578266.90629639546</v>
      </c>
      <c r="BB20" s="72">
        <v>837814.88823826355</v>
      </c>
      <c r="BC20" s="72">
        <v>974607.80583249638</v>
      </c>
      <c r="BD20" s="72">
        <v>641959.78655327647</v>
      </c>
      <c r="BE20" s="72">
        <v>941659.83130595693</v>
      </c>
      <c r="BF20" s="72">
        <v>1050453.4649241155</v>
      </c>
      <c r="BG20" s="72">
        <v>709424.73836194526</v>
      </c>
      <c r="BJ20" t="s">
        <v>1505</v>
      </c>
      <c r="BK20" t="s">
        <v>947</v>
      </c>
      <c r="BL20">
        <v>1414361.7583000001</v>
      </c>
      <c r="BM20">
        <v>1464252.8474000001</v>
      </c>
      <c r="BN20">
        <v>1483851.1235418001</v>
      </c>
      <c r="BO20">
        <v>626801.76003919938</v>
      </c>
      <c r="BP20">
        <v>687834.2654316033</v>
      </c>
      <c r="BQ20">
        <v>788070.75474514847</v>
      </c>
      <c r="BR20">
        <v>575353.7746388407</v>
      </c>
      <c r="BS20">
        <v>976073.7177965442</v>
      </c>
      <c r="BT20">
        <v>1166931.4197955769</v>
      </c>
      <c r="BU20">
        <v>797288.07872852008</v>
      </c>
      <c r="BV20">
        <v>1158429.0312896147</v>
      </c>
      <c r="BW20">
        <v>1356068.5653639734</v>
      </c>
      <c r="BX20">
        <v>901834.07935833861</v>
      </c>
      <c r="BY20">
        <v>1313124.7468552748</v>
      </c>
      <c r="BZ20">
        <v>1468129.1300407089</v>
      </c>
      <c r="CA20">
        <v>1005127.4645764697</v>
      </c>
      <c r="CB20" s="85"/>
      <c r="CC20" s="85"/>
    </row>
    <row r="21" spans="4:81">
      <c r="D21" t="s">
        <v>5</v>
      </c>
      <c r="E21">
        <v>822166</v>
      </c>
      <c r="F21">
        <v>904009</v>
      </c>
      <c r="G21">
        <v>891964</v>
      </c>
      <c r="H21">
        <v>381260</v>
      </c>
      <c r="I21">
        <v>383713.94571827201</v>
      </c>
      <c r="J21">
        <v>448921.45783691201</v>
      </c>
      <c r="K21">
        <v>322000.57014312001</v>
      </c>
      <c r="L21">
        <v>601042.61586797005</v>
      </c>
      <c r="M21">
        <v>712669.13459045906</v>
      </c>
      <c r="N21">
        <v>474285.78159761603</v>
      </c>
      <c r="O21">
        <v>724502.64389291801</v>
      </c>
      <c r="P21">
        <v>854755.87969859596</v>
      </c>
      <c r="Q21">
        <v>550871.30396633199</v>
      </c>
      <c r="R21">
        <v>836455.31005237601</v>
      </c>
      <c r="S21">
        <v>945296.39726962603</v>
      </c>
      <c r="T21">
        <v>632478.58942410792</v>
      </c>
      <c r="U21" s="88"/>
      <c r="W21" t="s">
        <v>5</v>
      </c>
      <c r="X21">
        <v>2973194.5151999998</v>
      </c>
      <c r="Y21">
        <v>3235674.9210999999</v>
      </c>
      <c r="Z21">
        <v>3161594.1807999997</v>
      </c>
      <c r="AA21">
        <v>1423058.6170999999</v>
      </c>
      <c r="AB21">
        <v>1402069</v>
      </c>
      <c r="AC21">
        <v>1637046</v>
      </c>
      <c r="AD21">
        <v>1178800</v>
      </c>
      <c r="AE21">
        <v>2063770</v>
      </c>
      <c r="AF21">
        <v>2419349</v>
      </c>
      <c r="AG21">
        <v>1652464</v>
      </c>
      <c r="AH21">
        <v>2451811</v>
      </c>
      <c r="AI21">
        <v>2881187</v>
      </c>
      <c r="AJ21">
        <v>1886373</v>
      </c>
      <c r="AK21">
        <v>2815285</v>
      </c>
      <c r="AL21">
        <v>3181615</v>
      </c>
      <c r="AM21">
        <v>2145112</v>
      </c>
      <c r="AO21" s="128"/>
      <c r="AP21" t="s">
        <v>1506</v>
      </c>
      <c r="AQ21" t="s">
        <v>948</v>
      </c>
      <c r="AR21">
        <v>94817</v>
      </c>
      <c r="AS21">
        <v>105576</v>
      </c>
      <c r="AT21">
        <v>110030</v>
      </c>
      <c r="AU21" s="72">
        <v>54498</v>
      </c>
      <c r="AV21" s="72">
        <v>59162.046545870471</v>
      </c>
      <c r="AW21" s="72">
        <v>67777.667270013728</v>
      </c>
      <c r="AX21" s="72">
        <v>49803.609356492649</v>
      </c>
      <c r="AY21" s="72">
        <v>79951.881686859837</v>
      </c>
      <c r="AZ21" s="72">
        <v>93119.450132624988</v>
      </c>
      <c r="BA21" s="72">
        <v>63367.945062768114</v>
      </c>
      <c r="BB21" s="72">
        <v>92744.59523547854</v>
      </c>
      <c r="BC21" s="72">
        <v>107723.87932427558</v>
      </c>
      <c r="BD21" s="72">
        <v>71021.190549406325</v>
      </c>
      <c r="BE21" s="72">
        <v>104029.61179600407</v>
      </c>
      <c r="BF21" s="72">
        <v>116882.75556058408</v>
      </c>
      <c r="BG21" s="72">
        <v>78282.792647485272</v>
      </c>
      <c r="BJ21" t="s">
        <v>1506</v>
      </c>
      <c r="BK21" t="s">
        <v>948</v>
      </c>
      <c r="BL21">
        <v>113002.94189</v>
      </c>
      <c r="BM21">
        <v>126274.93867</v>
      </c>
      <c r="BN21">
        <v>131553.24139000001</v>
      </c>
      <c r="BO21">
        <v>58815.185522025276</v>
      </c>
      <c r="BP21">
        <v>64788.445649531037</v>
      </c>
      <c r="BQ21">
        <v>75569.443636068172</v>
      </c>
      <c r="BR21">
        <v>52651.907386547435</v>
      </c>
      <c r="BS21">
        <v>91892.88426552451</v>
      </c>
      <c r="BT21">
        <v>109166.73755771635</v>
      </c>
      <c r="BU21">
        <v>70857.015163907505</v>
      </c>
      <c r="BV21">
        <v>109249.29679919552</v>
      </c>
      <c r="BW21">
        <v>129446.82038582531</v>
      </c>
      <c r="BX21">
        <v>80700.907015336183</v>
      </c>
      <c r="BY21">
        <v>124796.6251706613</v>
      </c>
      <c r="BZ21">
        <v>141437.58719422747</v>
      </c>
      <c r="CA21">
        <v>90601.324069145732</v>
      </c>
      <c r="CB21" s="85"/>
      <c r="CC21" s="85"/>
    </row>
    <row r="22" spans="4:81">
      <c r="D22" t="s">
        <v>50</v>
      </c>
      <c r="E22">
        <v>620922</v>
      </c>
      <c r="F22">
        <v>635022</v>
      </c>
      <c r="G22">
        <v>646596</v>
      </c>
      <c r="H22">
        <v>263107</v>
      </c>
      <c r="I22">
        <v>276703.099765733</v>
      </c>
      <c r="J22">
        <v>334088.76495317399</v>
      </c>
      <c r="K22">
        <v>249963.480133734</v>
      </c>
      <c r="L22">
        <v>458884.35554435203</v>
      </c>
      <c r="M22">
        <v>530925.58125012298</v>
      </c>
      <c r="N22">
        <v>381735.25950564601</v>
      </c>
      <c r="O22">
        <v>561973.031398847</v>
      </c>
      <c r="P22">
        <v>643373.21198112192</v>
      </c>
      <c r="Q22">
        <v>440867.43854239001</v>
      </c>
      <c r="R22">
        <v>651778.39051647205</v>
      </c>
      <c r="S22">
        <v>698900.20118286612</v>
      </c>
      <c r="T22">
        <v>488691.15956409904</v>
      </c>
      <c r="U22" s="88"/>
      <c r="W22" t="s">
        <v>50</v>
      </c>
      <c r="X22">
        <v>4465252.5708999997</v>
      </c>
      <c r="Y22">
        <v>4549882.7232999997</v>
      </c>
      <c r="Z22">
        <v>4640859.5649999995</v>
      </c>
      <c r="AA22">
        <v>1988290.2946000001</v>
      </c>
      <c r="AB22">
        <v>2071673</v>
      </c>
      <c r="AC22">
        <v>2557971</v>
      </c>
      <c r="AD22">
        <v>1914968</v>
      </c>
      <c r="AE22">
        <v>3202365</v>
      </c>
      <c r="AF22">
        <v>3680613</v>
      </c>
      <c r="AG22">
        <v>2730530</v>
      </c>
      <c r="AH22">
        <v>4038945</v>
      </c>
      <c r="AI22">
        <v>4594038</v>
      </c>
      <c r="AJ22">
        <v>3200187</v>
      </c>
      <c r="AK22">
        <v>4725720</v>
      </c>
      <c r="AL22">
        <v>4980088</v>
      </c>
      <c r="AM22">
        <v>3533297</v>
      </c>
      <c r="AO22" s="128"/>
      <c r="AP22" t="s">
        <v>1507</v>
      </c>
      <c r="AQ22" t="s">
        <v>949</v>
      </c>
      <c r="AR22">
        <v>51063</v>
      </c>
      <c r="AS22">
        <v>57234</v>
      </c>
      <c r="AT22">
        <v>61112</v>
      </c>
      <c r="AU22" s="72">
        <v>23873</v>
      </c>
      <c r="AV22" s="72">
        <v>25125.798678353261</v>
      </c>
      <c r="AW22" s="72">
        <v>29147.330161899554</v>
      </c>
      <c r="AX22" s="72">
        <v>21677.973075282753</v>
      </c>
      <c r="AY22" s="72">
        <v>42969.896238674119</v>
      </c>
      <c r="AZ22" s="72">
        <v>51484.052739328079</v>
      </c>
      <c r="BA22" s="72">
        <v>33678.861666602745</v>
      </c>
      <c r="BB22" s="72">
        <v>52654.258790318272</v>
      </c>
      <c r="BC22" s="72">
        <v>62199.872709844414</v>
      </c>
      <c r="BD22" s="72">
        <v>39229.089317639802</v>
      </c>
      <c r="BE22" s="72">
        <v>62142.716941903629</v>
      </c>
      <c r="BF22" s="72">
        <v>69805.866983403408</v>
      </c>
      <c r="BG22" s="72">
        <v>45686.316822685505</v>
      </c>
      <c r="BJ22" t="s">
        <v>1507</v>
      </c>
      <c r="BK22" t="s">
        <v>949</v>
      </c>
      <c r="BL22">
        <v>63896.560696</v>
      </c>
      <c r="BM22">
        <v>73183.914241000006</v>
      </c>
      <c r="BN22">
        <v>79830.627535000007</v>
      </c>
      <c r="BO22">
        <v>31091.542693100491</v>
      </c>
      <c r="BP22">
        <v>33137.643859674165</v>
      </c>
      <c r="BQ22">
        <v>38256.414403024675</v>
      </c>
      <c r="BR22">
        <v>28061.709469589201</v>
      </c>
      <c r="BS22">
        <v>57180.644482572432</v>
      </c>
      <c r="BT22">
        <v>68284.43591189546</v>
      </c>
      <c r="BU22">
        <v>45011.347764729711</v>
      </c>
      <c r="BV22">
        <v>69033.336491421229</v>
      </c>
      <c r="BW22">
        <v>81082.147968306046</v>
      </c>
      <c r="BX22">
        <v>53085.007999344547</v>
      </c>
      <c r="BY22">
        <v>81748.392384370251</v>
      </c>
      <c r="BZ22">
        <v>92815.141397706044</v>
      </c>
      <c r="CA22">
        <v>61881.684696905613</v>
      </c>
      <c r="CB22" s="85"/>
      <c r="CC22" s="85"/>
    </row>
    <row r="23" spans="4:81">
      <c r="D23" t="s">
        <v>215</v>
      </c>
      <c r="E23">
        <v>1785541</v>
      </c>
      <c r="F23">
        <v>1880251</v>
      </c>
      <c r="G23">
        <v>1962182</v>
      </c>
      <c r="H23">
        <v>781672</v>
      </c>
      <c r="I23">
        <v>868433.52172587207</v>
      </c>
      <c r="J23">
        <v>1015488.83130439</v>
      </c>
      <c r="K23">
        <v>705889.97070271696</v>
      </c>
      <c r="L23">
        <v>1384608.8024828299</v>
      </c>
      <c r="M23">
        <v>1658442.4338614801</v>
      </c>
      <c r="N23">
        <v>1061118.4513387501</v>
      </c>
      <c r="O23">
        <v>1638000.0330322301</v>
      </c>
      <c r="P23">
        <v>1944424.68331257</v>
      </c>
      <c r="Q23">
        <v>1215287.20169757</v>
      </c>
      <c r="R23">
        <v>1861615.68170413</v>
      </c>
      <c r="S23">
        <v>2128182.3550535101</v>
      </c>
      <c r="T23">
        <v>1376241.9527879299</v>
      </c>
      <c r="U23" s="88"/>
      <c r="W23" t="s">
        <v>215</v>
      </c>
      <c r="X23">
        <v>8631815.9770999998</v>
      </c>
      <c r="Y23">
        <v>9433866.2511999998</v>
      </c>
      <c r="Z23">
        <v>10045777.860000001</v>
      </c>
      <c r="AA23">
        <v>3989844.2132999999</v>
      </c>
      <c r="AB23">
        <v>4170337</v>
      </c>
      <c r="AC23">
        <v>4918582</v>
      </c>
      <c r="AD23">
        <v>3407947</v>
      </c>
      <c r="AE23">
        <v>7251799</v>
      </c>
      <c r="AF23">
        <v>8912431</v>
      </c>
      <c r="AG23">
        <v>5458023</v>
      </c>
      <c r="AH23">
        <v>8932709</v>
      </c>
      <c r="AI23">
        <v>10664211</v>
      </c>
      <c r="AJ23">
        <v>6513215</v>
      </c>
      <c r="AK23">
        <v>10297720</v>
      </c>
      <c r="AL23">
        <v>11754751</v>
      </c>
      <c r="AM23">
        <v>7549807</v>
      </c>
      <c r="AO23" s="128"/>
      <c r="AP23" t="s">
        <v>1508</v>
      </c>
      <c r="AQ23" t="s">
        <v>950</v>
      </c>
      <c r="AR23">
        <v>132223</v>
      </c>
      <c r="AS23">
        <v>137948</v>
      </c>
      <c r="AT23">
        <v>140733</v>
      </c>
      <c r="AU23" s="72">
        <v>53813</v>
      </c>
      <c r="AV23" s="72">
        <v>58594.33287500462</v>
      </c>
      <c r="AW23" s="72">
        <v>67960.451879730012</v>
      </c>
      <c r="AX23" s="72">
        <v>51072.678683352642</v>
      </c>
      <c r="AY23" s="72">
        <v>104358.55381974306</v>
      </c>
      <c r="AZ23" s="72">
        <v>122016.37340180269</v>
      </c>
      <c r="BA23" s="72">
        <v>84344.137173239011</v>
      </c>
      <c r="BB23" s="72">
        <v>122350.94256914487</v>
      </c>
      <c r="BC23" s="72">
        <v>141684.0471998218</v>
      </c>
      <c r="BD23" s="72">
        <v>94952.043446410258</v>
      </c>
      <c r="BE23" s="72">
        <v>140362.18396628572</v>
      </c>
      <c r="BF23" s="72">
        <v>155006.87420039519</v>
      </c>
      <c r="BG23" s="72">
        <v>106002.02711953342</v>
      </c>
      <c r="BJ23" t="s">
        <v>1508</v>
      </c>
      <c r="BK23" t="s">
        <v>950</v>
      </c>
      <c r="BL23">
        <v>171664.98066</v>
      </c>
      <c r="BM23">
        <v>182545.71257</v>
      </c>
      <c r="BN23">
        <v>187709.446777</v>
      </c>
      <c r="BO23">
        <v>70511.44028384694</v>
      </c>
      <c r="BP23">
        <v>76703.59117783219</v>
      </c>
      <c r="BQ23">
        <v>88245.73203355333</v>
      </c>
      <c r="BR23">
        <v>67666.650198161689</v>
      </c>
      <c r="BS23">
        <v>136070.06303877223</v>
      </c>
      <c r="BT23">
        <v>160319.94429267966</v>
      </c>
      <c r="BU23">
        <v>112331.11797045378</v>
      </c>
      <c r="BV23">
        <v>163328.21141510672</v>
      </c>
      <c r="BW23">
        <v>188262.67113575016</v>
      </c>
      <c r="BX23">
        <v>127807.65439899657</v>
      </c>
      <c r="BY23">
        <v>188289.60374101659</v>
      </c>
      <c r="BZ23">
        <v>206904.84003586072</v>
      </c>
      <c r="CA23">
        <v>145161.89307039592</v>
      </c>
      <c r="CB23" s="85"/>
      <c r="CC23" s="85"/>
    </row>
    <row r="24" spans="4:81">
      <c r="D24" t="s">
        <v>41</v>
      </c>
      <c r="E24">
        <v>267807</v>
      </c>
      <c r="F24">
        <v>290125</v>
      </c>
      <c r="G24">
        <v>298026</v>
      </c>
      <c r="H24">
        <v>130540</v>
      </c>
      <c r="I24">
        <v>127402.89738780299</v>
      </c>
      <c r="J24">
        <v>145814.01857411501</v>
      </c>
      <c r="K24">
        <v>110546.947782061</v>
      </c>
      <c r="L24">
        <v>211211.03444725199</v>
      </c>
      <c r="M24">
        <v>238546.237863149</v>
      </c>
      <c r="N24">
        <v>168801.06779684799</v>
      </c>
      <c r="O24">
        <v>246197.48101308302</v>
      </c>
      <c r="P24">
        <v>285278.42167342798</v>
      </c>
      <c r="Q24">
        <v>195652.77891244198</v>
      </c>
      <c r="R24">
        <v>282355.41358925105</v>
      </c>
      <c r="S24">
        <v>305248.72364003101</v>
      </c>
      <c r="T24">
        <v>221642.48586541502</v>
      </c>
      <c r="U24" s="88"/>
      <c r="W24" t="s">
        <v>41</v>
      </c>
      <c r="X24">
        <v>877213.52049999998</v>
      </c>
      <c r="Y24">
        <v>938371.85129999998</v>
      </c>
      <c r="Z24">
        <v>957532.59170000011</v>
      </c>
      <c r="AA24">
        <v>439248.07649999997</v>
      </c>
      <c r="AB24">
        <v>422779</v>
      </c>
      <c r="AC24">
        <v>483229</v>
      </c>
      <c r="AD24">
        <v>368993</v>
      </c>
      <c r="AE24">
        <v>652403</v>
      </c>
      <c r="AF24">
        <v>729245</v>
      </c>
      <c r="AG24">
        <v>532473</v>
      </c>
      <c r="AH24">
        <v>752196</v>
      </c>
      <c r="AI24">
        <v>868294</v>
      </c>
      <c r="AJ24">
        <v>606914</v>
      </c>
      <c r="AK24">
        <v>859599</v>
      </c>
      <c r="AL24">
        <v>929295</v>
      </c>
      <c r="AM24">
        <v>680765</v>
      </c>
      <c r="AO24" s="128"/>
      <c r="AP24" t="s">
        <v>241</v>
      </c>
      <c r="AQ24" t="s">
        <v>951</v>
      </c>
      <c r="AR24">
        <v>148665</v>
      </c>
      <c r="AS24">
        <v>153809</v>
      </c>
      <c r="AT24">
        <v>154899</v>
      </c>
      <c r="AU24" s="72">
        <v>51702</v>
      </c>
      <c r="AV24" s="72">
        <v>65702.7725595519</v>
      </c>
      <c r="AW24" s="72">
        <v>78431.670337409902</v>
      </c>
      <c r="AX24" s="72">
        <v>51214.913956495955</v>
      </c>
      <c r="AY24" s="72">
        <v>111125.08687718204</v>
      </c>
      <c r="AZ24" s="72">
        <v>133924.56609841631</v>
      </c>
      <c r="BA24" s="72">
        <v>83477.667813057342</v>
      </c>
      <c r="BB24" s="72">
        <v>131245.54519503357</v>
      </c>
      <c r="BC24" s="72">
        <v>157087.0817546563</v>
      </c>
      <c r="BD24" s="72">
        <v>95638.340992448575</v>
      </c>
      <c r="BE24" s="72">
        <v>150067.1307348753</v>
      </c>
      <c r="BF24" s="72">
        <v>171868.85845892303</v>
      </c>
      <c r="BG24" s="72">
        <v>108310.14036858948</v>
      </c>
      <c r="BJ24" t="s">
        <v>241</v>
      </c>
      <c r="BK24" t="s">
        <v>951</v>
      </c>
      <c r="BL24">
        <v>217688.93264000001</v>
      </c>
      <c r="BM24">
        <v>230046.95392</v>
      </c>
      <c r="BN24">
        <v>233682.38722</v>
      </c>
      <c r="BO24">
        <v>73300.331864317166</v>
      </c>
      <c r="BP24">
        <v>97927.755297742959</v>
      </c>
      <c r="BQ24">
        <v>117741.33811453191</v>
      </c>
      <c r="BR24">
        <v>75881.831288604692</v>
      </c>
      <c r="BS24">
        <v>167559.22871074671</v>
      </c>
      <c r="BT24">
        <v>200587.2141511472</v>
      </c>
      <c r="BU24">
        <v>127698.69568211469</v>
      </c>
      <c r="BV24">
        <v>199254.82270973851</v>
      </c>
      <c r="BW24">
        <v>238017.50701912024</v>
      </c>
      <c r="BX24">
        <v>148191.06239229743</v>
      </c>
      <c r="BY24">
        <v>228633.93692407251</v>
      </c>
      <c r="BZ24">
        <v>264602.00248520833</v>
      </c>
      <c r="CA24">
        <v>168593.86858894987</v>
      </c>
      <c r="CB24" s="85"/>
      <c r="CC24" s="85"/>
    </row>
    <row r="25" spans="4:81">
      <c r="D25" t="s">
        <v>210</v>
      </c>
      <c r="E25">
        <v>276814</v>
      </c>
      <c r="F25">
        <v>300728</v>
      </c>
      <c r="G25">
        <v>303166</v>
      </c>
      <c r="H25">
        <v>139336</v>
      </c>
      <c r="I25">
        <v>140578.64294408303</v>
      </c>
      <c r="J25">
        <v>158171.01844746902</v>
      </c>
      <c r="K25">
        <v>120448.452167257</v>
      </c>
      <c r="L25">
        <v>219918.435133766</v>
      </c>
      <c r="M25">
        <v>247316.91790862801</v>
      </c>
      <c r="N25">
        <v>176627.75030960399</v>
      </c>
      <c r="O25">
        <v>255248.20398486301</v>
      </c>
      <c r="P25">
        <v>294298.58429341501</v>
      </c>
      <c r="Q25">
        <v>203394.25249338799</v>
      </c>
      <c r="R25">
        <v>291051.74474422797</v>
      </c>
      <c r="S25">
        <v>312986.382651933</v>
      </c>
      <c r="T25">
        <v>228973.192874753</v>
      </c>
      <c r="U25" s="88"/>
      <c r="W25" t="s">
        <v>210</v>
      </c>
      <c r="X25">
        <v>540776.07030000002</v>
      </c>
      <c r="Y25">
        <v>602689.47450000001</v>
      </c>
      <c r="Z25">
        <v>618821.78249999997</v>
      </c>
      <c r="AA25">
        <v>332616.26139999996</v>
      </c>
      <c r="AB25">
        <v>341360</v>
      </c>
      <c r="AC25">
        <v>383256</v>
      </c>
      <c r="AD25">
        <v>295668</v>
      </c>
      <c r="AE25">
        <v>476863</v>
      </c>
      <c r="AF25">
        <v>529816</v>
      </c>
      <c r="AG25">
        <v>396064</v>
      </c>
      <c r="AH25">
        <v>546862</v>
      </c>
      <c r="AI25">
        <v>627854</v>
      </c>
      <c r="AJ25">
        <v>445384</v>
      </c>
      <c r="AK25">
        <v>621783</v>
      </c>
      <c r="AL25">
        <v>668643</v>
      </c>
      <c r="AM25">
        <v>494882</v>
      </c>
      <c r="AO25" s="128"/>
      <c r="AP25" t="s">
        <v>242</v>
      </c>
      <c r="AQ25" t="s">
        <v>952</v>
      </c>
      <c r="AR25">
        <v>237141</v>
      </c>
      <c r="AS25">
        <v>247377</v>
      </c>
      <c r="AT25">
        <v>255048</v>
      </c>
      <c r="AU25" s="72">
        <v>103095</v>
      </c>
      <c r="AV25" s="72">
        <v>114255.81400922942</v>
      </c>
      <c r="AW25" s="72">
        <v>134042.59067081762</v>
      </c>
      <c r="AX25" s="72">
        <v>91185.119528160503</v>
      </c>
      <c r="AY25" s="72">
        <v>183188.34525920538</v>
      </c>
      <c r="AZ25" s="72">
        <v>219847.05589906487</v>
      </c>
      <c r="BA25" s="72">
        <v>138196.90467678916</v>
      </c>
      <c r="BB25" s="72">
        <v>213913.08033071749</v>
      </c>
      <c r="BC25" s="72">
        <v>254428.03959323457</v>
      </c>
      <c r="BD25" s="72">
        <v>156208.55294640147</v>
      </c>
      <c r="BE25" s="72">
        <v>242231.19998843322</v>
      </c>
      <c r="BF25" s="72">
        <v>276517.71468103863</v>
      </c>
      <c r="BG25" s="72">
        <v>174927.55814834329</v>
      </c>
      <c r="BJ25" t="s">
        <v>242</v>
      </c>
      <c r="BK25" t="s">
        <v>952</v>
      </c>
      <c r="BL25">
        <v>313533.07814</v>
      </c>
      <c r="BM25">
        <v>330580.43682</v>
      </c>
      <c r="BN25">
        <v>344286.61925500003</v>
      </c>
      <c r="BO25">
        <v>143054.50873101558</v>
      </c>
      <c r="BP25">
        <v>157481.2929314755</v>
      </c>
      <c r="BQ25">
        <v>180441.14786657892</v>
      </c>
      <c r="BR25">
        <v>124280.10012598231</v>
      </c>
      <c r="BS25">
        <v>252316.84588895037</v>
      </c>
      <c r="BT25">
        <v>297586.00728521781</v>
      </c>
      <c r="BU25">
        <v>194909.37491222937</v>
      </c>
      <c r="BV25">
        <v>290586.94531498867</v>
      </c>
      <c r="BW25">
        <v>342097.96564791939</v>
      </c>
      <c r="BX25">
        <v>223942.21199742358</v>
      </c>
      <c r="BY25">
        <v>329236.62682384835</v>
      </c>
      <c r="BZ25">
        <v>374003.54278472665</v>
      </c>
      <c r="CA25">
        <v>252860.23372471993</v>
      </c>
      <c r="CB25" s="85"/>
      <c r="CC25" s="85"/>
    </row>
    <row r="26" spans="4:81">
      <c r="D26" t="s">
        <v>216</v>
      </c>
      <c r="E26">
        <v>115544</v>
      </c>
      <c r="F26">
        <v>125012</v>
      </c>
      <c r="G26">
        <v>130230</v>
      </c>
      <c r="H26">
        <v>56032</v>
      </c>
      <c r="I26">
        <v>53457.259341901903</v>
      </c>
      <c r="J26">
        <v>61619.854655327297</v>
      </c>
      <c r="K26">
        <v>44937.279424443805</v>
      </c>
      <c r="L26">
        <v>84801.734402372895</v>
      </c>
      <c r="M26">
        <v>100034.70586255699</v>
      </c>
      <c r="N26">
        <v>68383.688775963601</v>
      </c>
      <c r="O26">
        <v>102409.57101528201</v>
      </c>
      <c r="P26">
        <v>120614.902653504</v>
      </c>
      <c r="Q26">
        <v>81863.683686346703</v>
      </c>
      <c r="R26">
        <v>115716.42299915401</v>
      </c>
      <c r="S26">
        <v>136836.76525282502</v>
      </c>
      <c r="T26">
        <v>97571.984231288501</v>
      </c>
      <c r="U26" s="88"/>
      <c r="W26" t="s">
        <v>216</v>
      </c>
      <c r="X26">
        <v>915945.47880000004</v>
      </c>
      <c r="Y26">
        <v>934710.43130000005</v>
      </c>
      <c r="Z26">
        <v>1019976.6148000001</v>
      </c>
      <c r="AA26">
        <v>395964.09539999999</v>
      </c>
      <c r="AB26">
        <v>341624</v>
      </c>
      <c r="AC26">
        <v>397004</v>
      </c>
      <c r="AD26">
        <v>299868</v>
      </c>
      <c r="AE26">
        <v>600800</v>
      </c>
      <c r="AF26">
        <v>742788</v>
      </c>
      <c r="AG26">
        <v>481435</v>
      </c>
      <c r="AH26">
        <v>772701</v>
      </c>
      <c r="AI26">
        <v>932717</v>
      </c>
      <c r="AJ26">
        <v>619434</v>
      </c>
      <c r="AK26">
        <v>869551</v>
      </c>
      <c r="AL26">
        <v>1069143</v>
      </c>
      <c r="AM26">
        <v>769627</v>
      </c>
      <c r="AO26" s="128"/>
      <c r="AP26" t="s">
        <v>1509</v>
      </c>
      <c r="AQ26" t="s">
        <v>953</v>
      </c>
      <c r="AR26">
        <v>37298</v>
      </c>
      <c r="AS26">
        <v>41708</v>
      </c>
      <c r="AT26">
        <v>43742</v>
      </c>
      <c r="AU26" s="72">
        <v>17918</v>
      </c>
      <c r="AV26" s="72">
        <v>18376.009138200388</v>
      </c>
      <c r="AW26" s="72">
        <v>20967.405854484507</v>
      </c>
      <c r="AX26" s="72">
        <v>15984.125719170032</v>
      </c>
      <c r="AY26" s="72">
        <v>29864.097966443856</v>
      </c>
      <c r="AZ26" s="72">
        <v>34965.628446514638</v>
      </c>
      <c r="BA26" s="72">
        <v>24376.363874722465</v>
      </c>
      <c r="BB26" s="72">
        <v>35436.452056689057</v>
      </c>
      <c r="BC26" s="72">
        <v>41554.122058262314</v>
      </c>
      <c r="BD26" s="72">
        <v>27814.763276763726</v>
      </c>
      <c r="BE26" s="72">
        <v>40940.407079039862</v>
      </c>
      <c r="BF26" s="72">
        <v>45097.361481791486</v>
      </c>
      <c r="BG26" s="72">
        <v>31434.160394457245</v>
      </c>
      <c r="BJ26" t="s">
        <v>1509</v>
      </c>
      <c r="BK26" t="s">
        <v>953</v>
      </c>
      <c r="BL26">
        <v>36031.960808999997</v>
      </c>
      <c r="BM26">
        <v>41366.528355000002</v>
      </c>
      <c r="BN26">
        <v>44699.602028305701</v>
      </c>
      <c r="BO26">
        <v>18166.585396017595</v>
      </c>
      <c r="BP26">
        <v>18929.745457366109</v>
      </c>
      <c r="BQ26">
        <v>22197.746525801227</v>
      </c>
      <c r="BR26">
        <v>15775.302812982876</v>
      </c>
      <c r="BS26">
        <v>30590.803807694636</v>
      </c>
      <c r="BT26">
        <v>35590.917427003966</v>
      </c>
      <c r="BU26">
        <v>25347.898209414645</v>
      </c>
      <c r="BV26">
        <v>35952.864532127831</v>
      </c>
      <c r="BW26">
        <v>42487.095997746241</v>
      </c>
      <c r="BX26">
        <v>28485.744450713057</v>
      </c>
      <c r="BY26">
        <v>41780.987855172541</v>
      </c>
      <c r="BZ26">
        <v>47482.420819825376</v>
      </c>
      <c r="CA26">
        <v>32126.086728856084</v>
      </c>
      <c r="CB26" s="85"/>
      <c r="CC26" s="85"/>
    </row>
    <row r="27" spans="4:81">
      <c r="D27" t="s">
        <v>15</v>
      </c>
      <c r="E27">
        <v>1030914</v>
      </c>
      <c r="F27">
        <v>1077018</v>
      </c>
      <c r="I27">
        <v>532077.27419359004</v>
      </c>
      <c r="J27">
        <v>599218.17958625709</v>
      </c>
      <c r="K27">
        <v>483486.86301874596</v>
      </c>
      <c r="L27">
        <v>736902.63471904397</v>
      </c>
      <c r="M27">
        <v>832458.97730367503</v>
      </c>
      <c r="N27">
        <v>634863.518504643</v>
      </c>
      <c r="O27">
        <v>853321.83243887103</v>
      </c>
      <c r="P27">
        <v>967491.367170527</v>
      </c>
      <c r="Q27">
        <v>706477.34122704901</v>
      </c>
      <c r="R27">
        <v>958021.30811767804</v>
      </c>
      <c r="S27">
        <v>1033959.5049860399</v>
      </c>
      <c r="T27">
        <v>777453.19952405605</v>
      </c>
      <c r="U27" s="88"/>
      <c r="W27" t="s">
        <v>15</v>
      </c>
      <c r="AB27">
        <v>2468648</v>
      </c>
      <c r="AC27">
        <v>2853305</v>
      </c>
      <c r="AD27">
        <v>2243085</v>
      </c>
      <c r="AE27">
        <v>3804961</v>
      </c>
      <c r="AF27">
        <v>4320231</v>
      </c>
      <c r="AG27">
        <v>3203937</v>
      </c>
      <c r="AH27">
        <v>4527908</v>
      </c>
      <c r="AI27">
        <v>5157276</v>
      </c>
      <c r="AJ27">
        <v>3701804</v>
      </c>
      <c r="AK27">
        <v>5158763</v>
      </c>
      <c r="AL27">
        <v>5541581</v>
      </c>
      <c r="AM27">
        <v>4137159</v>
      </c>
      <c r="AO27" s="128"/>
      <c r="AP27" t="s">
        <v>1510</v>
      </c>
      <c r="AQ27" t="s">
        <v>955</v>
      </c>
      <c r="AR27">
        <v>28663</v>
      </c>
      <c r="AS27">
        <v>31608</v>
      </c>
      <c r="AT27">
        <v>32595</v>
      </c>
      <c r="AU27" s="72">
        <v>15517</v>
      </c>
      <c r="AV27" s="72">
        <v>16075.549494604375</v>
      </c>
      <c r="AW27" s="72">
        <v>17489.066337684388</v>
      </c>
      <c r="AX27" s="72">
        <v>12787.254796404741</v>
      </c>
      <c r="AY27" s="72">
        <v>22331.973593784591</v>
      </c>
      <c r="AZ27" s="72">
        <v>26201.126736953767</v>
      </c>
      <c r="BA27" s="72">
        <v>18490.463840958193</v>
      </c>
      <c r="BB27" s="72">
        <v>26479.09493640413</v>
      </c>
      <c r="BC27" s="72">
        <v>30818.381870222503</v>
      </c>
      <c r="BD27" s="72">
        <v>20765.24612734111</v>
      </c>
      <c r="BE27" s="72">
        <v>30342.867951114975</v>
      </c>
      <c r="BF27" s="72">
        <v>33664.43411922895</v>
      </c>
      <c r="BG27" s="72">
        <v>23301.660925850418</v>
      </c>
      <c r="BJ27" t="s">
        <v>1510</v>
      </c>
      <c r="BK27" t="s">
        <v>955</v>
      </c>
      <c r="BL27">
        <v>29068.995664999999</v>
      </c>
      <c r="BM27">
        <v>33157.671201999998</v>
      </c>
      <c r="BN27">
        <v>34118.433792600001</v>
      </c>
      <c r="BO27">
        <v>16440.132521350515</v>
      </c>
      <c r="BP27">
        <v>16985.185308289521</v>
      </c>
      <c r="BQ27">
        <v>18672.89194531157</v>
      </c>
      <c r="BR27">
        <v>13195.379068444012</v>
      </c>
      <c r="BS27">
        <v>23799.448183201122</v>
      </c>
      <c r="BT27">
        <v>28465.096848594821</v>
      </c>
      <c r="BU27">
        <v>19708.65891004237</v>
      </c>
      <c r="BV27">
        <v>27852.95267147895</v>
      </c>
      <c r="BW27">
        <v>32837.974703968663</v>
      </c>
      <c r="BX27">
        <v>21725.6413392912</v>
      </c>
      <c r="BY27">
        <v>32009.463085569074</v>
      </c>
      <c r="BZ27">
        <v>36088.952969055099</v>
      </c>
      <c r="CA27">
        <v>24824.073214872849</v>
      </c>
      <c r="CB27" s="85"/>
      <c r="CC27" s="85"/>
    </row>
    <row r="28" spans="4:81">
      <c r="D28" t="s">
        <v>13</v>
      </c>
      <c r="E28">
        <v>1286807</v>
      </c>
      <c r="F28">
        <v>1328606</v>
      </c>
      <c r="G28">
        <v>1331535</v>
      </c>
      <c r="H28">
        <v>595803</v>
      </c>
      <c r="I28">
        <v>592512.16276040906</v>
      </c>
      <c r="J28">
        <v>695227.22188409395</v>
      </c>
      <c r="K28">
        <v>481268.75725034601</v>
      </c>
      <c r="L28">
        <v>919773.44034297997</v>
      </c>
      <c r="M28">
        <v>1089370.28029626</v>
      </c>
      <c r="N28">
        <v>717572.61978207098</v>
      </c>
      <c r="O28">
        <v>1082723.84410564</v>
      </c>
      <c r="P28">
        <v>1268554.75100784</v>
      </c>
      <c r="Q28">
        <v>811954.22085655795</v>
      </c>
      <c r="R28">
        <v>1234979.1802904799</v>
      </c>
      <c r="S28">
        <v>1370561.12840171</v>
      </c>
      <c r="T28">
        <v>909437.16309949104</v>
      </c>
      <c r="U28" s="88"/>
      <c r="W28" t="s">
        <v>13</v>
      </c>
      <c r="X28">
        <v>3223221.1608000002</v>
      </c>
      <c r="Y28">
        <v>3392469.0550000002</v>
      </c>
      <c r="Z28">
        <v>3380621.7250000001</v>
      </c>
      <c r="AA28">
        <v>1479592.5092999998</v>
      </c>
      <c r="AB28">
        <v>1461086</v>
      </c>
      <c r="AC28">
        <v>1719968</v>
      </c>
      <c r="AD28">
        <v>1215916</v>
      </c>
      <c r="AE28">
        <v>2251050</v>
      </c>
      <c r="AF28">
        <v>2666661</v>
      </c>
      <c r="AG28">
        <v>1784494</v>
      </c>
      <c r="AH28">
        <v>2673571</v>
      </c>
      <c r="AI28">
        <v>3128684</v>
      </c>
      <c r="AJ28">
        <v>2016610</v>
      </c>
      <c r="AK28">
        <v>3066469</v>
      </c>
      <c r="AL28">
        <v>3407506</v>
      </c>
      <c r="AM28">
        <v>2259743</v>
      </c>
      <c r="AO28" s="128"/>
      <c r="AP28" t="s">
        <v>1521</v>
      </c>
      <c r="AQ28" t="s">
        <v>956</v>
      </c>
      <c r="AR28">
        <v>35311</v>
      </c>
      <c r="AS28">
        <v>37382</v>
      </c>
      <c r="AT28">
        <v>38085</v>
      </c>
      <c r="AU28" s="72">
        <v>20148</v>
      </c>
      <c r="AV28" s="72">
        <v>18508.135583686861</v>
      </c>
      <c r="AW28" s="72">
        <v>21406.22539469293</v>
      </c>
      <c r="AX28" s="72">
        <v>15627.262893097934</v>
      </c>
      <c r="AY28" s="72">
        <v>26742.303546299005</v>
      </c>
      <c r="AZ28" s="72">
        <v>31362.434097685647</v>
      </c>
      <c r="BA28" s="72">
        <v>20487.385686927631</v>
      </c>
      <c r="BB28" s="72">
        <v>30101.536422589885</v>
      </c>
      <c r="BC28" s="72">
        <v>35039.943801060232</v>
      </c>
      <c r="BD28" s="72">
        <v>22988.085098908061</v>
      </c>
      <c r="BE28" s="72">
        <v>33643.61574688676</v>
      </c>
      <c r="BF28" s="72">
        <v>37850.745069264289</v>
      </c>
      <c r="BG28" s="72">
        <v>25345.86753793732</v>
      </c>
      <c r="BJ28" t="s">
        <v>1521</v>
      </c>
      <c r="BK28" t="s">
        <v>956</v>
      </c>
      <c r="BL28">
        <v>51201.153993</v>
      </c>
      <c r="BM28">
        <v>54700.116636999999</v>
      </c>
      <c r="BN28">
        <v>56435.659115000002</v>
      </c>
      <c r="BO28">
        <v>40237.335019902828</v>
      </c>
      <c r="BP28">
        <v>33027.12165205519</v>
      </c>
      <c r="BQ28">
        <v>36993.132285158637</v>
      </c>
      <c r="BR28">
        <v>29495.534614202599</v>
      </c>
      <c r="BS28">
        <v>42509.069370174366</v>
      </c>
      <c r="BT28">
        <v>48573.976466572618</v>
      </c>
      <c r="BU28">
        <v>34577.937330734327</v>
      </c>
      <c r="BV28">
        <v>47559.422967447121</v>
      </c>
      <c r="BW28">
        <v>54306.55648708369</v>
      </c>
      <c r="BX28">
        <v>38498.143661374852</v>
      </c>
      <c r="BY28">
        <v>52470.251066665289</v>
      </c>
      <c r="BZ28">
        <v>58118.873960709403</v>
      </c>
      <c r="CA28">
        <v>41735.333618817975</v>
      </c>
      <c r="CB28" s="85"/>
      <c r="CC28" s="85"/>
    </row>
    <row r="29" spans="4:81">
      <c r="D29" t="s">
        <v>42</v>
      </c>
      <c r="E29">
        <v>591121</v>
      </c>
      <c r="F29">
        <v>594493</v>
      </c>
      <c r="G29">
        <v>591272</v>
      </c>
      <c r="H29">
        <v>344331</v>
      </c>
      <c r="I29">
        <v>342608.99462125899</v>
      </c>
      <c r="J29">
        <v>383084.94956509903</v>
      </c>
      <c r="K29">
        <v>315350.56241051998</v>
      </c>
      <c r="L29">
        <v>414328.61222307797</v>
      </c>
      <c r="M29">
        <v>467926.72601908201</v>
      </c>
      <c r="N29">
        <v>374512.97209231701</v>
      </c>
      <c r="O29">
        <v>483415.70397530199</v>
      </c>
      <c r="P29">
        <v>541233.54383550107</v>
      </c>
      <c r="Q29">
        <v>409122.741639085</v>
      </c>
      <c r="R29">
        <v>537449.55695753905</v>
      </c>
      <c r="S29">
        <v>578363.6813769911</v>
      </c>
      <c r="T29">
        <v>443538.08375813602</v>
      </c>
      <c r="U29" s="88"/>
      <c r="W29" t="s">
        <v>42</v>
      </c>
      <c r="X29">
        <v>2526845.7686000001</v>
      </c>
      <c r="Y29">
        <v>2522273.4109999998</v>
      </c>
      <c r="Z29">
        <v>2437377.2052999996</v>
      </c>
      <c r="AA29">
        <v>1229871.3930000002</v>
      </c>
      <c r="AB29">
        <v>1181513</v>
      </c>
      <c r="AC29">
        <v>1378525</v>
      </c>
      <c r="AD29">
        <v>1093474</v>
      </c>
      <c r="AE29">
        <v>1767147</v>
      </c>
      <c r="AF29">
        <v>2035473</v>
      </c>
      <c r="AG29">
        <v>1529243</v>
      </c>
      <c r="AH29">
        <v>2174357</v>
      </c>
      <c r="AI29">
        <v>2459342</v>
      </c>
      <c r="AJ29">
        <v>1783895</v>
      </c>
      <c r="AK29">
        <v>2478881</v>
      </c>
      <c r="AL29">
        <v>2647476</v>
      </c>
      <c r="AM29">
        <v>1986894</v>
      </c>
      <c r="AO29" s="128"/>
      <c r="AP29" t="s">
        <v>1511</v>
      </c>
      <c r="AQ29" t="s">
        <v>957</v>
      </c>
      <c r="AR29">
        <v>25796</v>
      </c>
      <c r="AS29">
        <v>29200</v>
      </c>
      <c r="AT29">
        <v>30095</v>
      </c>
      <c r="AU29" s="72">
        <v>12217</v>
      </c>
      <c r="AV29" s="72">
        <v>13166.501295779086</v>
      </c>
      <c r="AW29" s="72">
        <v>15232.469507712296</v>
      </c>
      <c r="AX29" s="72">
        <v>10600.657425297497</v>
      </c>
      <c r="AY29" s="72">
        <v>21288.083712665051</v>
      </c>
      <c r="AZ29" s="72">
        <v>25291.471102015777</v>
      </c>
      <c r="BA29" s="72">
        <v>16727.794926489725</v>
      </c>
      <c r="BB29" s="72">
        <v>25644.644895515568</v>
      </c>
      <c r="BC29" s="72">
        <v>29910.860668820002</v>
      </c>
      <c r="BD29" s="72">
        <v>19516.475353030382</v>
      </c>
      <c r="BE29" s="72">
        <v>29807.583888370231</v>
      </c>
      <c r="BF29" s="72">
        <v>33442.329048108819</v>
      </c>
      <c r="BG29" s="72">
        <v>22680.37970838444</v>
      </c>
      <c r="BJ29" t="s">
        <v>1511</v>
      </c>
      <c r="BK29" t="s">
        <v>957</v>
      </c>
      <c r="BL29">
        <v>31200.382616999999</v>
      </c>
      <c r="BM29">
        <v>35091.834879000002</v>
      </c>
      <c r="BN29">
        <v>36971.989964</v>
      </c>
      <c r="BO29">
        <v>14527.979776657821</v>
      </c>
      <c r="BP29">
        <v>15441.864391756824</v>
      </c>
      <c r="BQ29">
        <v>17860.212933587125</v>
      </c>
      <c r="BR29">
        <v>11515.945543996835</v>
      </c>
      <c r="BS29">
        <v>26540.750617102618</v>
      </c>
      <c r="BT29">
        <v>32332.869144396413</v>
      </c>
      <c r="BU29">
        <v>20147.052503127426</v>
      </c>
      <c r="BV29">
        <v>32809.303540396315</v>
      </c>
      <c r="BW29">
        <v>38913.601900367394</v>
      </c>
      <c r="BX29">
        <v>23917.245358168231</v>
      </c>
      <c r="BY29">
        <v>38926.523225827696</v>
      </c>
      <c r="BZ29">
        <v>43568.308124129857</v>
      </c>
      <c r="CA29">
        <v>28792.667052067947</v>
      </c>
      <c r="CB29" s="85"/>
      <c r="CC29" s="85"/>
    </row>
    <row r="30" spans="4:81">
      <c r="D30" t="s">
        <v>211</v>
      </c>
      <c r="E30">
        <v>792729</v>
      </c>
      <c r="F30">
        <v>871805</v>
      </c>
      <c r="G30">
        <v>912473</v>
      </c>
      <c r="H30">
        <v>376916</v>
      </c>
      <c r="I30">
        <v>390395.336322013</v>
      </c>
      <c r="J30">
        <v>452382.72072752204</v>
      </c>
      <c r="K30">
        <v>325355.74836330902</v>
      </c>
      <c r="L30">
        <v>643045.46013999998</v>
      </c>
      <c r="M30">
        <v>743186.30921151501</v>
      </c>
      <c r="N30">
        <v>505473.11636679398</v>
      </c>
      <c r="O30">
        <v>781066.52973672003</v>
      </c>
      <c r="P30">
        <v>895112.29651808902</v>
      </c>
      <c r="Q30">
        <v>585384.97772165004</v>
      </c>
      <c r="R30">
        <v>887829.83564732911</v>
      </c>
      <c r="S30">
        <v>960934.748079955</v>
      </c>
      <c r="T30">
        <v>665205.11024867499</v>
      </c>
      <c r="U30" s="88"/>
      <c r="W30" t="s">
        <v>211</v>
      </c>
      <c r="X30">
        <v>4290520.1095000003</v>
      </c>
      <c r="Y30">
        <v>4666097.2208000002</v>
      </c>
      <c r="Z30">
        <v>4971805.8129000012</v>
      </c>
      <c r="AA30">
        <v>2145810.9897999996</v>
      </c>
      <c r="AB30">
        <v>2240843</v>
      </c>
      <c r="AC30">
        <v>2597659</v>
      </c>
      <c r="AD30">
        <v>1900366</v>
      </c>
      <c r="AE30">
        <v>3495712</v>
      </c>
      <c r="AF30">
        <v>3974709</v>
      </c>
      <c r="AG30">
        <v>2810302</v>
      </c>
      <c r="AH30">
        <v>4186339</v>
      </c>
      <c r="AI30">
        <v>4824293</v>
      </c>
      <c r="AJ30">
        <v>3248558</v>
      </c>
      <c r="AK30">
        <v>4801615</v>
      </c>
      <c r="AL30">
        <v>5187638</v>
      </c>
      <c r="AM30">
        <v>3680371</v>
      </c>
      <c r="AO30" s="128"/>
      <c r="AP30" t="s">
        <v>1512</v>
      </c>
      <c r="AQ30" t="s">
        <v>958</v>
      </c>
      <c r="AR30">
        <v>290423</v>
      </c>
      <c r="AS30">
        <v>295144</v>
      </c>
      <c r="AT30">
        <v>293192</v>
      </c>
      <c r="AU30" s="72">
        <v>131741</v>
      </c>
      <c r="AV30" s="72">
        <v>136961.31370176378</v>
      </c>
      <c r="AW30" s="72">
        <v>160735.56116109688</v>
      </c>
      <c r="AX30" s="72">
        <v>105650.20010635241</v>
      </c>
      <c r="AY30" s="72">
        <v>192564.90193136825</v>
      </c>
      <c r="AZ30" s="72">
        <v>229988.99384947083</v>
      </c>
      <c r="BA30" s="72">
        <v>149466.46114780364</v>
      </c>
      <c r="BB30" s="72">
        <v>224903.34340881088</v>
      </c>
      <c r="BC30" s="72">
        <v>266304.92381587275</v>
      </c>
      <c r="BD30" s="72">
        <v>168549.54486072328</v>
      </c>
      <c r="BE30" s="72">
        <v>256233.53150248865</v>
      </c>
      <c r="BF30" s="72">
        <v>283391.75478942087</v>
      </c>
      <c r="BG30" s="72">
        <v>188305.12916604208</v>
      </c>
      <c r="BJ30" t="s">
        <v>1512</v>
      </c>
      <c r="BK30" t="s">
        <v>958</v>
      </c>
      <c r="BL30">
        <v>406059.75792</v>
      </c>
      <c r="BM30">
        <v>412908.83898</v>
      </c>
      <c r="BN30">
        <v>412020.5638688</v>
      </c>
      <c r="BO30">
        <v>210653.11914942894</v>
      </c>
      <c r="BP30">
        <v>208982.92967987084</v>
      </c>
      <c r="BQ30">
        <v>242303.3341415867</v>
      </c>
      <c r="BR30">
        <v>160496.01400463967</v>
      </c>
      <c r="BS30">
        <v>284919.50478358637</v>
      </c>
      <c r="BT30">
        <v>336414.41603680642</v>
      </c>
      <c r="BU30">
        <v>226705.43104978159</v>
      </c>
      <c r="BV30">
        <v>333830.49735762202</v>
      </c>
      <c r="BW30">
        <v>391518.66384061193</v>
      </c>
      <c r="BX30">
        <v>260176.67005267041</v>
      </c>
      <c r="BY30">
        <v>378821.30641922588</v>
      </c>
      <c r="BZ30">
        <v>419070.34730092017</v>
      </c>
      <c r="CA30">
        <v>293256.16349754704</v>
      </c>
      <c r="CB30" s="85"/>
      <c r="CC30" s="85"/>
    </row>
    <row r="31" spans="4:81">
      <c r="D31" t="s">
        <v>44</v>
      </c>
      <c r="E31">
        <v>612522</v>
      </c>
      <c r="F31">
        <v>633977</v>
      </c>
      <c r="G31">
        <v>651223</v>
      </c>
      <c r="H31">
        <v>266605</v>
      </c>
      <c r="I31">
        <v>280099.66540021403</v>
      </c>
      <c r="J31">
        <v>335700.02658952103</v>
      </c>
      <c r="K31">
        <v>210938.53960937099</v>
      </c>
      <c r="L31">
        <v>453894.53832674201</v>
      </c>
      <c r="M31">
        <v>554114.74508317397</v>
      </c>
      <c r="N31">
        <v>337834.33227148704</v>
      </c>
      <c r="O31">
        <v>540835.80196367204</v>
      </c>
      <c r="P31">
        <v>655154.26302596496</v>
      </c>
      <c r="Q31">
        <v>388538.80945048301</v>
      </c>
      <c r="R31">
        <v>620181.26719238306</v>
      </c>
      <c r="S31">
        <v>722212.11565463804</v>
      </c>
      <c r="T31">
        <v>440251.48605808901</v>
      </c>
      <c r="U31" s="88"/>
      <c r="W31" t="s">
        <v>44</v>
      </c>
      <c r="X31">
        <v>3777023.5627000001</v>
      </c>
      <c r="Y31">
        <v>3855541.0915999999</v>
      </c>
      <c r="Z31">
        <v>4059859.8324999996</v>
      </c>
      <c r="AA31">
        <v>1556015.6366999999</v>
      </c>
      <c r="AB31">
        <v>1581179</v>
      </c>
      <c r="AC31">
        <v>1908254</v>
      </c>
      <c r="AD31">
        <v>1199204</v>
      </c>
      <c r="AE31">
        <v>2769645</v>
      </c>
      <c r="AF31">
        <v>3465192</v>
      </c>
      <c r="AG31">
        <v>2034990</v>
      </c>
      <c r="AH31">
        <v>3407484</v>
      </c>
      <c r="AI31">
        <v>4155929</v>
      </c>
      <c r="AJ31">
        <v>2419668</v>
      </c>
      <c r="AK31">
        <v>3948993</v>
      </c>
      <c r="AL31">
        <v>4592753</v>
      </c>
      <c r="AM31">
        <v>2789628</v>
      </c>
      <c r="AO31" s="128"/>
      <c r="AP31" t="s">
        <v>1513</v>
      </c>
      <c r="AQ31" t="s">
        <v>959</v>
      </c>
      <c r="AR31">
        <v>214485</v>
      </c>
      <c r="AS31">
        <v>215699</v>
      </c>
      <c r="AT31">
        <v>213725</v>
      </c>
      <c r="AU31" s="72">
        <v>130486</v>
      </c>
      <c r="AV31" s="72">
        <v>138422.12507191952</v>
      </c>
      <c r="AW31" s="72">
        <v>153856.08732598776</v>
      </c>
      <c r="AX31" s="72">
        <v>126881.74335085743</v>
      </c>
      <c r="AY31" s="72">
        <v>161092.38625229397</v>
      </c>
      <c r="AZ31" s="72">
        <v>182455.20491041191</v>
      </c>
      <c r="BA31" s="72">
        <v>146489.77132484232</v>
      </c>
      <c r="BB31" s="72">
        <v>186402.4653301363</v>
      </c>
      <c r="BC31" s="72">
        <v>208680.40947807647</v>
      </c>
      <c r="BD31" s="72">
        <v>158198.83714698715</v>
      </c>
      <c r="BE31" s="72">
        <v>206064.59452655423</v>
      </c>
      <c r="BF31" s="72">
        <v>222848.45975410382</v>
      </c>
      <c r="BG31" s="72">
        <v>171136.52822878549</v>
      </c>
      <c r="BJ31" t="s">
        <v>1513</v>
      </c>
      <c r="BK31" t="s">
        <v>959</v>
      </c>
      <c r="BL31">
        <v>246209.61546999999</v>
      </c>
      <c r="BM31">
        <v>252577.52505</v>
      </c>
      <c r="BN31">
        <v>251004.93951100003</v>
      </c>
      <c r="BO31">
        <v>128994.91636608049</v>
      </c>
      <c r="BP31">
        <v>150248.06516632711</v>
      </c>
      <c r="BQ31">
        <v>171373.83750612548</v>
      </c>
      <c r="BR31">
        <v>134865.56551996485</v>
      </c>
      <c r="BS31">
        <v>182561.77540561347</v>
      </c>
      <c r="BT31">
        <v>201733.43230796483</v>
      </c>
      <c r="BU31">
        <v>162243.12441849016</v>
      </c>
      <c r="BV31">
        <v>206787.18236417271</v>
      </c>
      <c r="BW31">
        <v>236077.38473888964</v>
      </c>
      <c r="BX31">
        <v>177284.60776753811</v>
      </c>
      <c r="BY31">
        <v>233292.68775150756</v>
      </c>
      <c r="BZ31">
        <v>254418.57375353854</v>
      </c>
      <c r="CA31">
        <v>193774.52369095146</v>
      </c>
      <c r="CB31" s="85"/>
      <c r="CC31" s="85"/>
    </row>
    <row r="32" spans="4:81">
      <c r="D32" t="s">
        <v>219</v>
      </c>
      <c r="E32">
        <v>673314</v>
      </c>
      <c r="F32">
        <v>738093</v>
      </c>
      <c r="G32">
        <v>747230</v>
      </c>
      <c r="H32">
        <v>319994</v>
      </c>
      <c r="I32">
        <v>331562.73951661098</v>
      </c>
      <c r="J32">
        <v>384065.43261637399</v>
      </c>
      <c r="K32">
        <v>278421.67953877</v>
      </c>
      <c r="L32">
        <v>493374.29404138902</v>
      </c>
      <c r="M32">
        <v>578768.36645031604</v>
      </c>
      <c r="N32">
        <v>395076.95161935402</v>
      </c>
      <c r="O32">
        <v>592874.35021748196</v>
      </c>
      <c r="P32">
        <v>696109.22977108392</v>
      </c>
      <c r="Q32">
        <v>459930.03440574202</v>
      </c>
      <c r="R32">
        <v>683829.70106191607</v>
      </c>
      <c r="S32">
        <v>774695.97481825296</v>
      </c>
      <c r="T32">
        <v>528763.22121907596</v>
      </c>
      <c r="U32" s="88"/>
      <c r="W32" t="s">
        <v>219</v>
      </c>
      <c r="X32">
        <v>4756851.7149999999</v>
      </c>
      <c r="Y32">
        <v>5100776.1634999998</v>
      </c>
      <c r="Z32">
        <v>5117437.7201000005</v>
      </c>
      <c r="AA32">
        <v>2245621.5907999999</v>
      </c>
      <c r="AB32">
        <v>2158791</v>
      </c>
      <c r="AC32">
        <v>2507309</v>
      </c>
      <c r="AD32">
        <v>1803648</v>
      </c>
      <c r="AE32">
        <v>3234044</v>
      </c>
      <c r="AF32">
        <v>3737779</v>
      </c>
      <c r="AG32">
        <v>2580328</v>
      </c>
      <c r="AH32">
        <v>3842013</v>
      </c>
      <c r="AI32">
        <v>4493672</v>
      </c>
      <c r="AJ32">
        <v>2995856</v>
      </c>
      <c r="AK32">
        <v>4410323</v>
      </c>
      <c r="AL32">
        <v>5007643</v>
      </c>
      <c r="AM32">
        <v>3442773</v>
      </c>
      <c r="AO32" s="128"/>
      <c r="AP32" t="s">
        <v>851</v>
      </c>
      <c r="AQ32" t="s">
        <v>1696</v>
      </c>
      <c r="AR32">
        <v>85560</v>
      </c>
      <c r="AS32">
        <v>93641</v>
      </c>
      <c r="AT32">
        <v>97070</v>
      </c>
      <c r="AU32" s="72">
        <v>39923</v>
      </c>
      <c r="AV32" s="72">
        <v>42992.649032079724</v>
      </c>
      <c r="AW32" s="72">
        <v>49955.114365307447</v>
      </c>
      <c r="AX32" s="72">
        <v>34401.929694278515</v>
      </c>
      <c r="AY32" s="72">
        <v>68145.560264942324</v>
      </c>
      <c r="AZ32" s="72">
        <v>80891.89739675443</v>
      </c>
      <c r="BA32" s="72">
        <v>52887.754788877137</v>
      </c>
      <c r="BB32" s="72">
        <v>85881.294656089987</v>
      </c>
      <c r="BC32" s="72">
        <v>97539.467972289509</v>
      </c>
      <c r="BD32" s="72">
        <v>59230.038321606844</v>
      </c>
      <c r="BE32" s="72">
        <v>96384.750984433078</v>
      </c>
      <c r="BF32" s="72">
        <v>105749.91367067007</v>
      </c>
      <c r="BG32" s="72">
        <v>66577.437458835004</v>
      </c>
      <c r="BJ32" t="s">
        <v>851</v>
      </c>
      <c r="BK32" t="s">
        <v>1696</v>
      </c>
      <c r="BL32">
        <v>90674.620292000007</v>
      </c>
      <c r="BM32">
        <v>102609.88424</v>
      </c>
      <c r="BN32">
        <v>107046.95518999999</v>
      </c>
      <c r="BO32">
        <v>43439.971410849314</v>
      </c>
      <c r="BP32">
        <v>46170.304259666904</v>
      </c>
      <c r="BQ32">
        <v>53942.365741320165</v>
      </c>
      <c r="BR32">
        <v>36800.416970665952</v>
      </c>
      <c r="BS32">
        <v>75168.264283612516</v>
      </c>
      <c r="BT32">
        <v>89086.577918637966</v>
      </c>
      <c r="BU32">
        <v>57664.577910326785</v>
      </c>
      <c r="BV32">
        <v>96102.015122923345</v>
      </c>
      <c r="BW32">
        <v>109804.92101648999</v>
      </c>
      <c r="BX32">
        <v>65968.995106663031</v>
      </c>
      <c r="BY32">
        <v>108711.31829244074</v>
      </c>
      <c r="BZ32">
        <v>120109.7533724911</v>
      </c>
      <c r="CA32">
        <v>75128.251611180443</v>
      </c>
      <c r="CB32" s="85"/>
      <c r="CC32" s="85"/>
    </row>
    <row r="33" spans="4:81">
      <c r="D33" t="s">
        <v>6</v>
      </c>
      <c r="E33">
        <v>514884</v>
      </c>
      <c r="F33">
        <v>567120</v>
      </c>
      <c r="G33">
        <v>561881</v>
      </c>
      <c r="H33">
        <v>200783</v>
      </c>
      <c r="I33">
        <v>220409.33311629703</v>
      </c>
      <c r="J33">
        <v>255969.31562496201</v>
      </c>
      <c r="K33">
        <v>187843.78009003401</v>
      </c>
      <c r="L33">
        <v>350950.76173568302</v>
      </c>
      <c r="M33">
        <v>409522.323529922</v>
      </c>
      <c r="N33">
        <v>278324.04147801897</v>
      </c>
      <c r="O33">
        <v>422058.183184386</v>
      </c>
      <c r="P33">
        <v>493638.65869270999</v>
      </c>
      <c r="Q33">
        <v>324638.66901614302</v>
      </c>
      <c r="R33">
        <v>485946.659805957</v>
      </c>
      <c r="S33">
        <v>540927.02867766097</v>
      </c>
      <c r="T33">
        <v>371728.56535692298</v>
      </c>
      <c r="U33" s="88"/>
      <c r="W33" t="s">
        <v>6</v>
      </c>
      <c r="X33">
        <v>1189020.3456999999</v>
      </c>
      <c r="Y33">
        <v>1296243.3779</v>
      </c>
      <c r="Z33">
        <v>1291606.2947999998</v>
      </c>
      <c r="AA33">
        <v>475362.15019999992</v>
      </c>
      <c r="AB33">
        <v>503617</v>
      </c>
      <c r="AC33">
        <v>601187</v>
      </c>
      <c r="AD33">
        <v>441998</v>
      </c>
      <c r="AE33">
        <v>798052</v>
      </c>
      <c r="AF33">
        <v>925034</v>
      </c>
      <c r="AG33">
        <v>637917</v>
      </c>
      <c r="AH33">
        <v>952668</v>
      </c>
      <c r="AI33">
        <v>1111658</v>
      </c>
      <c r="AJ33">
        <v>737617</v>
      </c>
      <c r="AK33">
        <v>1094249</v>
      </c>
      <c r="AL33">
        <v>1218053</v>
      </c>
      <c r="AM33">
        <v>840715</v>
      </c>
      <c r="AO33" s="128"/>
      <c r="AP33" t="s">
        <v>853</v>
      </c>
      <c r="AQ33" t="s">
        <v>1701</v>
      </c>
      <c r="AR33">
        <v>106622</v>
      </c>
      <c r="AS33">
        <v>119514</v>
      </c>
      <c r="AT33">
        <v>124227</v>
      </c>
      <c r="AU33" s="72">
        <v>57200</v>
      </c>
      <c r="AV33" s="72">
        <v>59151.428610345167</v>
      </c>
      <c r="AW33" s="72">
        <v>67905.709992600212</v>
      </c>
      <c r="AX33" s="72">
        <v>48467.89251849932</v>
      </c>
      <c r="AY33" s="72">
        <v>91997.533283585522</v>
      </c>
      <c r="AZ33" s="72">
        <v>108583.8116229141</v>
      </c>
      <c r="BA33" s="72">
        <v>72397.942662050249</v>
      </c>
      <c r="BB33" s="72">
        <v>113529.46114745374</v>
      </c>
      <c r="BC33" s="72">
        <v>124895.80307373125</v>
      </c>
      <c r="BD33" s="72">
        <v>80802.457813032583</v>
      </c>
      <c r="BE33" s="72">
        <v>124273.05899025888</v>
      </c>
      <c r="BF33" s="72">
        <v>134156.90480914115</v>
      </c>
      <c r="BG33" s="72">
        <v>90837.2367592995</v>
      </c>
      <c r="BJ33" t="s">
        <v>853</v>
      </c>
      <c r="BK33" t="s">
        <v>1701</v>
      </c>
      <c r="BL33">
        <v>113412.17539999999</v>
      </c>
      <c r="BM33">
        <v>130895.74483</v>
      </c>
      <c r="BN33">
        <v>137417.60298508001</v>
      </c>
      <c r="BO33">
        <v>59183.141221844839</v>
      </c>
      <c r="BP33">
        <v>60938.794872876628</v>
      </c>
      <c r="BQ33">
        <v>71733.423566856494</v>
      </c>
      <c r="BR33">
        <v>47809.710284228764</v>
      </c>
      <c r="BS33">
        <v>100765.85454572123</v>
      </c>
      <c r="BT33">
        <v>120245.25054729277</v>
      </c>
      <c r="BU33">
        <v>77155.317210803812</v>
      </c>
      <c r="BV33">
        <v>125662.57622242125</v>
      </c>
      <c r="BW33">
        <v>139963.10426036056</v>
      </c>
      <c r="BX33">
        <v>87404.227085446837</v>
      </c>
      <c r="BY33">
        <v>138905.62478838424</v>
      </c>
      <c r="BZ33">
        <v>151404.4891287912</v>
      </c>
      <c r="CA33">
        <v>99000.551597758706</v>
      </c>
      <c r="CB33" s="85"/>
      <c r="CC33" s="85"/>
    </row>
    <row r="34" spans="4:81">
      <c r="D34" t="s">
        <v>7</v>
      </c>
      <c r="E34">
        <v>385897</v>
      </c>
      <c r="F34">
        <v>423154</v>
      </c>
      <c r="G34">
        <v>459608</v>
      </c>
      <c r="H34">
        <v>195283</v>
      </c>
      <c r="I34">
        <v>209000.256314395</v>
      </c>
      <c r="J34">
        <v>244619.92533850402</v>
      </c>
      <c r="K34">
        <v>175297.28080587799</v>
      </c>
      <c r="L34">
        <v>323006.130087681</v>
      </c>
      <c r="M34">
        <v>386386.08648166701</v>
      </c>
      <c r="N34">
        <v>253365.96255159698</v>
      </c>
      <c r="O34">
        <v>388699.69814533601</v>
      </c>
      <c r="P34">
        <v>460190.91309657902</v>
      </c>
      <c r="Q34">
        <v>291545.94844310498</v>
      </c>
      <c r="R34">
        <v>446899.08842919604</v>
      </c>
      <c r="S34">
        <v>506893.79998030502</v>
      </c>
      <c r="T34">
        <v>332723.86906685098</v>
      </c>
      <c r="U34" s="88"/>
      <c r="W34" t="s">
        <v>7</v>
      </c>
      <c r="X34">
        <v>524771.17260000005</v>
      </c>
      <c r="Y34">
        <v>571894.09219999996</v>
      </c>
      <c r="Z34">
        <v>627328.52830000001</v>
      </c>
      <c r="AA34">
        <v>263993.55650000001</v>
      </c>
      <c r="AB34">
        <v>270094</v>
      </c>
      <c r="AC34">
        <v>317621</v>
      </c>
      <c r="AD34">
        <v>225250</v>
      </c>
      <c r="AE34">
        <v>419005</v>
      </c>
      <c r="AF34">
        <v>507991</v>
      </c>
      <c r="AG34">
        <v>328196</v>
      </c>
      <c r="AH34">
        <v>511077</v>
      </c>
      <c r="AI34">
        <v>608914</v>
      </c>
      <c r="AJ34">
        <v>380673</v>
      </c>
      <c r="AK34">
        <v>589747</v>
      </c>
      <c r="AL34">
        <v>671038</v>
      </c>
      <c r="AM34">
        <v>436087</v>
      </c>
      <c r="AO34" s="128"/>
      <c r="AP34" t="s">
        <v>1514</v>
      </c>
      <c r="AQ34" t="s">
        <v>954</v>
      </c>
      <c r="AR34">
        <v>205202</v>
      </c>
      <c r="AS34">
        <v>215781</v>
      </c>
      <c r="AT34">
        <v>221235</v>
      </c>
      <c r="AU34" s="72">
        <v>96945</v>
      </c>
      <c r="AV34" s="72">
        <v>106965.18425029684</v>
      </c>
      <c r="AW34" s="72">
        <v>125940.68781791122</v>
      </c>
      <c r="AX34" s="72">
        <v>81544.444051996383</v>
      </c>
      <c r="AY34" s="72">
        <v>162865.66940132229</v>
      </c>
      <c r="AZ34" s="72">
        <v>196858.39571978242</v>
      </c>
      <c r="BA34" s="72">
        <v>123238.28113696937</v>
      </c>
      <c r="BB34" s="72">
        <v>191246.98863776639</v>
      </c>
      <c r="BC34" s="72">
        <v>230096.12289965575</v>
      </c>
      <c r="BD34" s="72">
        <v>139027.83461312857</v>
      </c>
      <c r="BE34" s="72">
        <v>216302.13272926136</v>
      </c>
      <c r="BF34" s="72">
        <v>250191.5823234297</v>
      </c>
      <c r="BG34" s="72">
        <v>154508.45006439867</v>
      </c>
      <c r="BJ34" t="s">
        <v>1514</v>
      </c>
      <c r="BK34" t="s">
        <v>954</v>
      </c>
      <c r="BL34">
        <v>257608.27953999999</v>
      </c>
      <c r="BM34">
        <v>273413.68018999998</v>
      </c>
      <c r="BN34">
        <v>291360.10977198998</v>
      </c>
      <c r="BO34">
        <v>120965.83006559307</v>
      </c>
      <c r="BP34">
        <v>134507.66991758096</v>
      </c>
      <c r="BQ34">
        <v>158296.92532122904</v>
      </c>
      <c r="BR34">
        <v>100482.22618591948</v>
      </c>
      <c r="BS34">
        <v>208637.34064997849</v>
      </c>
      <c r="BT34">
        <v>255570.83101520088</v>
      </c>
      <c r="BU34">
        <v>155209.29955608092</v>
      </c>
      <c r="BV34">
        <v>249119.56651335477</v>
      </c>
      <c r="BW34">
        <v>303823.00454191229</v>
      </c>
      <c r="BX34">
        <v>177459.59609247319</v>
      </c>
      <c r="BY34">
        <v>284740.90342971019</v>
      </c>
      <c r="BZ34">
        <v>334769.16026568844</v>
      </c>
      <c r="CA34">
        <v>199995.05434997822</v>
      </c>
      <c r="CB34" s="85"/>
      <c r="CC34" s="85"/>
    </row>
    <row r="35" spans="4:81">
      <c r="D35" t="s">
        <v>731</v>
      </c>
      <c r="E35">
        <v>2059314</v>
      </c>
      <c r="F35">
        <v>2168415</v>
      </c>
      <c r="I35">
        <v>974197.92535144405</v>
      </c>
      <c r="J35">
        <v>1145838.8849607599</v>
      </c>
      <c r="K35">
        <v>785466.427363027</v>
      </c>
      <c r="L35">
        <v>1572179.7255659599</v>
      </c>
      <c r="M35">
        <v>1897836.0951642999</v>
      </c>
      <c r="N35">
        <v>1183864.3058837201</v>
      </c>
      <c r="O35">
        <v>1849091.01403318</v>
      </c>
      <c r="P35">
        <v>2211261.2765453402</v>
      </c>
      <c r="Q35">
        <v>1345888.7937543399</v>
      </c>
      <c r="R35">
        <v>2111049.86763692</v>
      </c>
      <c r="S35">
        <v>2433423.6995605701</v>
      </c>
      <c r="T35">
        <v>1521095.85633963</v>
      </c>
      <c r="U35" s="88"/>
      <c r="W35" t="s">
        <v>731</v>
      </c>
      <c r="AB35">
        <v>7263057</v>
      </c>
      <c r="AC35">
        <v>8683441</v>
      </c>
      <c r="AD35">
        <v>5737080</v>
      </c>
      <c r="AE35">
        <v>12486443</v>
      </c>
      <c r="AF35">
        <v>15437821</v>
      </c>
      <c r="AG35">
        <v>9243220</v>
      </c>
      <c r="AH35">
        <v>15135730</v>
      </c>
      <c r="AI35">
        <v>18332926</v>
      </c>
      <c r="AJ35">
        <v>10844665</v>
      </c>
      <c r="AK35">
        <v>17488732</v>
      </c>
      <c r="AL35">
        <v>20327100</v>
      </c>
      <c r="AM35">
        <v>12485856</v>
      </c>
      <c r="AO35" s="128"/>
      <c r="AP35" t="s">
        <v>1515</v>
      </c>
      <c r="AQ35" t="s">
        <v>960</v>
      </c>
      <c r="AR35">
        <v>59016</v>
      </c>
      <c r="AS35">
        <v>62400</v>
      </c>
      <c r="AT35">
        <v>62893</v>
      </c>
      <c r="AU35" s="72">
        <v>28311</v>
      </c>
      <c r="AV35" s="72">
        <v>33478.278013211551</v>
      </c>
      <c r="AW35" s="72">
        <v>37752.807768100043</v>
      </c>
      <c r="AX35" s="72">
        <v>27835.192374955055</v>
      </c>
      <c r="AY35" s="72">
        <v>47099.693710618434</v>
      </c>
      <c r="AZ35" s="72">
        <v>55131.22896338666</v>
      </c>
      <c r="BA35" s="72">
        <v>38414.580485770632</v>
      </c>
      <c r="BB35" s="72">
        <v>55205.014120478569</v>
      </c>
      <c r="BC35" s="72">
        <v>64226.009618551492</v>
      </c>
      <c r="BD35" s="72">
        <v>43120.08703856614</v>
      </c>
      <c r="BE35" s="72">
        <v>63585.20134727691</v>
      </c>
      <c r="BF35" s="72">
        <v>70974.032778247099</v>
      </c>
      <c r="BG35" s="72">
        <v>48557.396191605163</v>
      </c>
      <c r="BJ35" t="s">
        <v>1515</v>
      </c>
      <c r="BK35" t="s">
        <v>960</v>
      </c>
      <c r="BL35">
        <v>67510.969851999995</v>
      </c>
      <c r="BM35">
        <v>72151.779884999996</v>
      </c>
      <c r="BN35">
        <v>73692.6236871</v>
      </c>
      <c r="BO35">
        <v>31417.50396359681</v>
      </c>
      <c r="BP35">
        <v>37989.422717928472</v>
      </c>
      <c r="BQ35">
        <v>44301.020758981082</v>
      </c>
      <c r="BR35">
        <v>30589.231605251884</v>
      </c>
      <c r="BS35">
        <v>56017.884837991223</v>
      </c>
      <c r="BT35">
        <v>65596.644879360232</v>
      </c>
      <c r="BU35">
        <v>44080.455304543037</v>
      </c>
      <c r="BV35">
        <v>65728.991936857434</v>
      </c>
      <c r="BW35">
        <v>76348.719258530604</v>
      </c>
      <c r="BX35">
        <v>50400.690992141826</v>
      </c>
      <c r="BY35">
        <v>75383.409515156265</v>
      </c>
      <c r="BZ35">
        <v>84529.221050107633</v>
      </c>
      <c r="CA35">
        <v>56739.744878991034</v>
      </c>
      <c r="CB35" s="85"/>
      <c r="CC35" s="85"/>
    </row>
    <row r="36" spans="4:81">
      <c r="D36" t="s">
        <v>46</v>
      </c>
      <c r="E36">
        <v>332528</v>
      </c>
      <c r="F36">
        <v>355574</v>
      </c>
      <c r="G36">
        <v>357826</v>
      </c>
      <c r="H36">
        <v>172387</v>
      </c>
      <c r="I36">
        <v>175190.15672580298</v>
      </c>
      <c r="J36">
        <v>202657.83414728803</v>
      </c>
      <c r="K36">
        <v>132381.51132204902</v>
      </c>
      <c r="L36">
        <v>252628.86288766601</v>
      </c>
      <c r="M36">
        <v>300468.39121038502</v>
      </c>
      <c r="N36">
        <v>195863.97027055299</v>
      </c>
      <c r="O36">
        <v>289478.44870013301</v>
      </c>
      <c r="P36">
        <v>342364.95392790402</v>
      </c>
      <c r="Q36">
        <v>218998.36333144802</v>
      </c>
      <c r="R36">
        <v>324953.860224651</v>
      </c>
      <c r="S36">
        <v>373444.86254660296</v>
      </c>
      <c r="T36">
        <v>243805.57150231602</v>
      </c>
      <c r="U36" s="88"/>
      <c r="W36" t="s">
        <v>46</v>
      </c>
      <c r="X36">
        <v>1602003.3591</v>
      </c>
      <c r="Y36">
        <v>1788036.2116</v>
      </c>
      <c r="Z36">
        <v>1951121.2001999998</v>
      </c>
      <c r="AA36">
        <v>802931.55570000003</v>
      </c>
      <c r="AB36">
        <v>810188</v>
      </c>
      <c r="AC36">
        <v>954223</v>
      </c>
      <c r="AD36">
        <v>634782</v>
      </c>
      <c r="AE36">
        <v>1301632</v>
      </c>
      <c r="AF36">
        <v>1572788</v>
      </c>
      <c r="AG36">
        <v>997371</v>
      </c>
      <c r="AH36">
        <v>1541592</v>
      </c>
      <c r="AI36">
        <v>1854970</v>
      </c>
      <c r="AJ36">
        <v>1185575</v>
      </c>
      <c r="AK36">
        <v>1736604</v>
      </c>
      <c r="AL36">
        <v>2059403</v>
      </c>
      <c r="AM36">
        <v>1366659</v>
      </c>
      <c r="AO36" s="128"/>
      <c r="AP36" t="s">
        <v>1516</v>
      </c>
      <c r="AQ36" t="s">
        <v>961</v>
      </c>
      <c r="AR36">
        <v>11020</v>
      </c>
      <c r="AS36">
        <v>11899</v>
      </c>
      <c r="AT36">
        <v>11243</v>
      </c>
      <c r="AU36" s="72"/>
      <c r="AV36" s="72"/>
      <c r="AW36" s="72"/>
      <c r="AX36" s="72"/>
      <c r="AY36" s="72"/>
      <c r="AZ36" s="72"/>
      <c r="BA36" s="72"/>
      <c r="BB36" s="72"/>
      <c r="BC36" s="72"/>
      <c r="BD36" s="72"/>
      <c r="BE36" s="72"/>
      <c r="BF36" s="72"/>
      <c r="BG36" s="72"/>
      <c r="BJ36" t="s">
        <v>1516</v>
      </c>
      <c r="BK36" t="s">
        <v>961</v>
      </c>
      <c r="BL36">
        <v>11118.351651999999</v>
      </c>
      <c r="BM36">
        <v>12452.879545</v>
      </c>
      <c r="BN36">
        <v>12061.203552000001</v>
      </c>
      <c r="CB36" s="85"/>
      <c r="CC36" s="85"/>
    </row>
    <row r="37" spans="4:81">
      <c r="D37" t="s">
        <v>48</v>
      </c>
      <c r="E37">
        <v>1879561</v>
      </c>
      <c r="F37">
        <v>1970164</v>
      </c>
      <c r="G37">
        <v>2017990</v>
      </c>
      <c r="H37">
        <v>780024</v>
      </c>
      <c r="I37">
        <v>884903.25318017998</v>
      </c>
      <c r="J37">
        <v>1045086.47859442</v>
      </c>
      <c r="K37">
        <v>717345.297624856</v>
      </c>
      <c r="L37">
        <v>1459484.1918476501</v>
      </c>
      <c r="M37">
        <v>1769762.8599879399</v>
      </c>
      <c r="N37">
        <v>1089757.1694851001</v>
      </c>
      <c r="O37">
        <v>1724794.0184209701</v>
      </c>
      <c r="P37">
        <v>2069232.0863076299</v>
      </c>
      <c r="Q37">
        <v>1244606.27988292</v>
      </c>
      <c r="R37">
        <v>1976642.5430874601</v>
      </c>
      <c r="S37">
        <v>2283470.3902531299</v>
      </c>
      <c r="T37">
        <v>1412557.7834178</v>
      </c>
      <c r="U37" s="88"/>
      <c r="W37" t="s">
        <v>48</v>
      </c>
      <c r="X37">
        <v>10440757.378799999</v>
      </c>
      <c r="Y37">
        <v>11058991.161900001</v>
      </c>
      <c r="Z37">
        <v>11488295.6028</v>
      </c>
      <c r="AA37">
        <v>4436941.6778999995</v>
      </c>
      <c r="AB37">
        <v>4871690</v>
      </c>
      <c r="AC37">
        <v>5820964</v>
      </c>
      <c r="AD37">
        <v>3903094</v>
      </c>
      <c r="AE37">
        <v>8415165</v>
      </c>
      <c r="AF37">
        <v>10399841</v>
      </c>
      <c r="AG37">
        <v>6210858</v>
      </c>
      <c r="AH37">
        <v>10186655</v>
      </c>
      <c r="AI37">
        <v>12322026</v>
      </c>
      <c r="AJ37">
        <v>7239423</v>
      </c>
      <c r="AK37">
        <v>11803136</v>
      </c>
      <c r="AL37">
        <v>13674944</v>
      </c>
      <c r="AM37">
        <v>8329569</v>
      </c>
      <c r="AO37" s="128"/>
      <c r="AP37" t="s">
        <v>1517</v>
      </c>
      <c r="AQ37" t="s">
        <v>962</v>
      </c>
      <c r="AR37">
        <v>16961</v>
      </c>
      <c r="AS37">
        <v>17749</v>
      </c>
      <c r="AT37">
        <v>16114</v>
      </c>
      <c r="AU37" s="72"/>
      <c r="AV37" s="72"/>
      <c r="AW37" s="72"/>
      <c r="AX37" s="72"/>
      <c r="AY37" s="72"/>
      <c r="AZ37" s="72"/>
      <c r="BA37" s="72"/>
      <c r="BB37" s="72"/>
      <c r="BC37" s="72"/>
      <c r="BD37" s="72"/>
      <c r="BE37" s="72"/>
      <c r="BF37" s="72"/>
      <c r="BG37" s="72"/>
      <c r="BJ37" t="s">
        <v>1517</v>
      </c>
      <c r="BK37" t="s">
        <v>962</v>
      </c>
      <c r="BL37">
        <v>13032.335660999999</v>
      </c>
      <c r="BM37">
        <v>13945.594126</v>
      </c>
      <c r="BN37">
        <v>12575.85178644</v>
      </c>
      <c r="CB37" s="85"/>
      <c r="CC37" s="85"/>
    </row>
    <row r="38" spans="4:81">
      <c r="D38" t="s">
        <v>0</v>
      </c>
      <c r="E38">
        <v>808370</v>
      </c>
      <c r="F38">
        <v>831277</v>
      </c>
      <c r="G38">
        <v>823408</v>
      </c>
      <c r="H38">
        <v>351175</v>
      </c>
      <c r="I38">
        <v>358098.38957491098</v>
      </c>
      <c r="J38">
        <v>407157.81948475301</v>
      </c>
      <c r="K38">
        <v>320910.99600781797</v>
      </c>
      <c r="L38">
        <v>589952.48650649004</v>
      </c>
      <c r="M38">
        <v>675748.96596464899</v>
      </c>
      <c r="N38">
        <v>492829.63564594701</v>
      </c>
      <c r="O38">
        <v>687580.03525517206</v>
      </c>
      <c r="P38">
        <v>786751.88275303098</v>
      </c>
      <c r="Q38">
        <v>551756.33262427198</v>
      </c>
      <c r="R38">
        <v>778166.61514551495</v>
      </c>
      <c r="S38">
        <v>850777.43799986702</v>
      </c>
      <c r="T38">
        <v>613101.61282482801</v>
      </c>
      <c r="U38" s="88"/>
      <c r="W38" t="s">
        <v>0</v>
      </c>
      <c r="X38">
        <v>3615171.2962000002</v>
      </c>
      <c r="Y38">
        <v>3812797.1858999999</v>
      </c>
      <c r="Z38">
        <v>3820393.2045</v>
      </c>
      <c r="AA38">
        <v>1676463.4536000004</v>
      </c>
      <c r="AB38">
        <v>1737029</v>
      </c>
      <c r="AC38">
        <v>1996838</v>
      </c>
      <c r="AD38">
        <v>1540546</v>
      </c>
      <c r="AE38">
        <v>2664319</v>
      </c>
      <c r="AF38">
        <v>3038048</v>
      </c>
      <c r="AG38">
        <v>2241535</v>
      </c>
      <c r="AH38">
        <v>3106592</v>
      </c>
      <c r="AI38">
        <v>3551317</v>
      </c>
      <c r="AJ38">
        <v>2501391</v>
      </c>
      <c r="AK38">
        <v>3518888</v>
      </c>
      <c r="AL38">
        <v>3849301</v>
      </c>
      <c r="AM38">
        <v>2773771</v>
      </c>
      <c r="AO38" s="128"/>
      <c r="AP38" t="s">
        <v>1518</v>
      </c>
      <c r="AQ38" t="s">
        <v>963</v>
      </c>
      <c r="AR38">
        <v>586095</v>
      </c>
      <c r="AS38">
        <v>617670</v>
      </c>
      <c r="AT38">
        <v>629043</v>
      </c>
      <c r="AU38" s="72">
        <v>277844</v>
      </c>
      <c r="AV38" s="72">
        <v>327905.17668918119</v>
      </c>
      <c r="AW38" s="72">
        <v>383307.18083060184</v>
      </c>
      <c r="AX38" s="72">
        <v>269619.29988656379</v>
      </c>
      <c r="AY38" s="72">
        <v>522090.0097965225</v>
      </c>
      <c r="AZ38" s="72">
        <v>626003.44424234331</v>
      </c>
      <c r="BA38" s="72">
        <v>394204.25940241909</v>
      </c>
      <c r="BB38" s="72">
        <v>607975.00753180613</v>
      </c>
      <c r="BC38" s="72">
        <v>722100.41448194475</v>
      </c>
      <c r="BD38" s="72">
        <v>445229.97988115298</v>
      </c>
      <c r="BE38" s="72">
        <v>691164.91302206658</v>
      </c>
      <c r="BF38" s="72">
        <v>791674.89970523422</v>
      </c>
      <c r="BG38" s="72">
        <v>500179.48412039981</v>
      </c>
      <c r="BJ38" t="s">
        <v>1518</v>
      </c>
      <c r="BK38" t="s">
        <v>963</v>
      </c>
      <c r="BL38">
        <v>781477.2561</v>
      </c>
      <c r="BM38">
        <v>825263.90622</v>
      </c>
      <c r="BN38">
        <v>846003.00890500005</v>
      </c>
      <c r="BO38">
        <v>349848.6487193731</v>
      </c>
      <c r="BP38">
        <v>412756.9155544744</v>
      </c>
      <c r="BQ38">
        <v>487016.2306570551</v>
      </c>
      <c r="BR38">
        <v>333096.23735983565</v>
      </c>
      <c r="BS38">
        <v>686387.53168828564</v>
      </c>
      <c r="BT38">
        <v>826915.46715249598</v>
      </c>
      <c r="BU38">
        <v>511496.07380468014</v>
      </c>
      <c r="BV38">
        <v>807395.94469183043</v>
      </c>
      <c r="BW38">
        <v>963325.4381337628</v>
      </c>
      <c r="BX38">
        <v>589523.05368259735</v>
      </c>
      <c r="BY38">
        <v>923608.48249814229</v>
      </c>
      <c r="BZ38">
        <v>1067304.8259548796</v>
      </c>
      <c r="CA38">
        <v>673293.00036693201</v>
      </c>
      <c r="CB38" s="85"/>
      <c r="CC38" s="85"/>
    </row>
    <row r="39" spans="4:81">
      <c r="D39" t="s">
        <v>14</v>
      </c>
      <c r="E39">
        <v>1109597</v>
      </c>
      <c r="F39">
        <v>1167096</v>
      </c>
      <c r="G39">
        <v>1176605</v>
      </c>
      <c r="H39">
        <v>477007</v>
      </c>
      <c r="I39">
        <v>513092.68752664496</v>
      </c>
      <c r="J39">
        <v>601312.95066744706</v>
      </c>
      <c r="K39">
        <v>418803.56711757602</v>
      </c>
      <c r="L39">
        <v>820619.79969491798</v>
      </c>
      <c r="M39">
        <v>985241.79621326004</v>
      </c>
      <c r="N39">
        <v>638724.20868683804</v>
      </c>
      <c r="O39">
        <v>978034.68902526109</v>
      </c>
      <c r="P39">
        <v>1156572.55371867</v>
      </c>
      <c r="Q39">
        <v>725414.90179965994</v>
      </c>
      <c r="R39">
        <v>1113175.5904640299</v>
      </c>
      <c r="S39">
        <v>1264365.7094920201</v>
      </c>
      <c r="T39">
        <v>815352.3029929531</v>
      </c>
      <c r="U39" s="88"/>
      <c r="W39" t="s">
        <v>14</v>
      </c>
      <c r="X39">
        <v>1603673.5105000001</v>
      </c>
      <c r="Y39">
        <v>1741383.5859000001</v>
      </c>
      <c r="Z39">
        <v>1768952.2613999997</v>
      </c>
      <c r="AA39">
        <v>650488.26169999992</v>
      </c>
      <c r="AB39">
        <v>681699</v>
      </c>
      <c r="AC39">
        <v>807708</v>
      </c>
      <c r="AD39">
        <v>557452</v>
      </c>
      <c r="AE39">
        <v>1164519</v>
      </c>
      <c r="AF39">
        <v>1444329</v>
      </c>
      <c r="AG39">
        <v>884826</v>
      </c>
      <c r="AH39">
        <v>1435212</v>
      </c>
      <c r="AI39">
        <v>1720971</v>
      </c>
      <c r="AJ39">
        <v>1037385</v>
      </c>
      <c r="AK39">
        <v>1653812</v>
      </c>
      <c r="AL39">
        <v>1887802</v>
      </c>
      <c r="AM39">
        <v>1185583</v>
      </c>
      <c r="AO39" s="128"/>
      <c r="AP39" t="s">
        <v>1519</v>
      </c>
      <c r="AQ39" t="s">
        <v>964</v>
      </c>
      <c r="AR39">
        <v>160492</v>
      </c>
      <c r="AS39">
        <v>158066</v>
      </c>
      <c r="AT39">
        <v>151011</v>
      </c>
      <c r="AU39" s="72">
        <v>43065</v>
      </c>
      <c r="AV39" s="72">
        <v>42554.552735879784</v>
      </c>
      <c r="AW39" s="72">
        <v>48934.692617765584</v>
      </c>
      <c r="AX39" s="72">
        <v>38560.816696170601</v>
      </c>
      <c r="AY39" s="72">
        <v>79882.357235485091</v>
      </c>
      <c r="AZ39" s="72">
        <v>93343.071496194374</v>
      </c>
      <c r="BA39" s="72">
        <v>66671.702836447512</v>
      </c>
      <c r="BB39" s="72">
        <v>93543.855293324101</v>
      </c>
      <c r="BC39" s="72">
        <v>108289.795868278</v>
      </c>
      <c r="BD39" s="72">
        <v>74303.159659067358</v>
      </c>
      <c r="BE39" s="72">
        <v>106639.58912372457</v>
      </c>
      <c r="BF39" s="72">
        <v>118219.06465958762</v>
      </c>
      <c r="BG39" s="72">
        <v>82955.551961447462</v>
      </c>
      <c r="BJ39" t="s">
        <v>1519</v>
      </c>
      <c r="BK39" t="s">
        <v>964</v>
      </c>
      <c r="BL39">
        <v>192962.98668</v>
      </c>
      <c r="BM39">
        <v>194247.72841000001</v>
      </c>
      <c r="BN39">
        <v>189086.18903500002</v>
      </c>
      <c r="BO39">
        <v>54147.13231359679</v>
      </c>
      <c r="BP39">
        <v>51419.507845847103</v>
      </c>
      <c r="BQ39">
        <v>59598.208406979371</v>
      </c>
      <c r="BR39">
        <v>45734.59711391967</v>
      </c>
      <c r="BS39">
        <v>101519.92444983014</v>
      </c>
      <c r="BT39">
        <v>119164.20721459835</v>
      </c>
      <c r="BU39">
        <v>84354.479577548118</v>
      </c>
      <c r="BV39">
        <v>120327.49816738762</v>
      </c>
      <c r="BW39">
        <v>139830.11924621536</v>
      </c>
      <c r="BX39">
        <v>96128.354930709727</v>
      </c>
      <c r="BY39">
        <v>138436.56609047588</v>
      </c>
      <c r="BZ39">
        <v>153811.65767758983</v>
      </c>
      <c r="CA39">
        <v>108036.59400726709</v>
      </c>
      <c r="CB39" s="85"/>
      <c r="CC39" s="85"/>
    </row>
    <row r="40" spans="4:81">
      <c r="D40" t="s">
        <v>49</v>
      </c>
      <c r="E40">
        <v>2576012</v>
      </c>
      <c r="F40">
        <v>2598293</v>
      </c>
      <c r="I40">
        <v>1059779.6348327999</v>
      </c>
      <c r="J40">
        <v>1238548.0007903599</v>
      </c>
      <c r="K40">
        <v>916366.45177349506</v>
      </c>
      <c r="L40">
        <v>1815578.96498765</v>
      </c>
      <c r="M40">
        <v>2104400.80031488</v>
      </c>
      <c r="N40">
        <v>1441026.65419069</v>
      </c>
      <c r="O40">
        <v>2125810.52947499</v>
      </c>
      <c r="P40">
        <v>2444503.7266780101</v>
      </c>
      <c r="Q40">
        <v>1618512.9614472401</v>
      </c>
      <c r="R40">
        <v>2413449.9011224201</v>
      </c>
      <c r="S40">
        <v>2653145.5787433102</v>
      </c>
      <c r="T40">
        <v>1792935.62890207</v>
      </c>
      <c r="U40" s="88"/>
      <c r="W40" t="s">
        <v>49</v>
      </c>
      <c r="AB40">
        <v>7450733</v>
      </c>
      <c r="AC40">
        <v>8953972</v>
      </c>
      <c r="AD40">
        <v>6611843</v>
      </c>
      <c r="AE40">
        <v>12194329</v>
      </c>
      <c r="AF40">
        <v>14313190</v>
      </c>
      <c r="AG40">
        <v>9917371</v>
      </c>
      <c r="AH40">
        <v>14948462</v>
      </c>
      <c r="AI40">
        <v>17216685</v>
      </c>
      <c r="AJ40">
        <v>11475720</v>
      </c>
      <c r="AK40">
        <v>17256075</v>
      </c>
      <c r="AL40">
        <v>18688304</v>
      </c>
      <c r="AM40">
        <v>12773313</v>
      </c>
      <c r="AO40" s="128"/>
      <c r="AP40" t="s">
        <v>1520</v>
      </c>
      <c r="AQ40" t="s">
        <v>965</v>
      </c>
      <c r="AR40">
        <v>222912</v>
      </c>
      <c r="AS40">
        <v>225916</v>
      </c>
      <c r="AT40">
        <v>224233</v>
      </c>
      <c r="AU40" s="72">
        <v>92108</v>
      </c>
      <c r="AV40" s="72">
        <v>98785.761408870138</v>
      </c>
      <c r="AW40" s="72">
        <v>115966.49062228858</v>
      </c>
      <c r="AX40" s="72">
        <v>79880.237329370895</v>
      </c>
      <c r="AY40" s="72">
        <v>163085.56690150657</v>
      </c>
      <c r="AZ40" s="72">
        <v>193697.63075555713</v>
      </c>
      <c r="BA40" s="72">
        <v>130176.4320189479</v>
      </c>
      <c r="BB40" s="72">
        <v>194870.65906456055</v>
      </c>
      <c r="BC40" s="72">
        <v>228446.09632294439</v>
      </c>
      <c r="BD40" s="72">
        <v>146722.35525112963</v>
      </c>
      <c r="BE40" s="72">
        <v>221428.63814082457</v>
      </c>
      <c r="BF40" s="72">
        <v>248651.80998406908</v>
      </c>
      <c r="BG40" s="72">
        <v>164188.73973417841</v>
      </c>
      <c r="BJ40" t="s">
        <v>1520</v>
      </c>
      <c r="BK40" t="s">
        <v>965</v>
      </c>
      <c r="BL40">
        <v>283798.69416000001</v>
      </c>
      <c r="BM40">
        <v>290974.44409</v>
      </c>
      <c r="BN40">
        <v>292923.95251000003</v>
      </c>
      <c r="BO40">
        <v>111807.49631570777</v>
      </c>
      <c r="BP40">
        <v>120153.89809063548</v>
      </c>
      <c r="BQ40">
        <v>142708.66161614921</v>
      </c>
      <c r="BR40">
        <v>95057.697649313021</v>
      </c>
      <c r="BS40">
        <v>209806.81792629912</v>
      </c>
      <c r="BT40">
        <v>250783.55926061043</v>
      </c>
      <c r="BU40">
        <v>166978.5714525324</v>
      </c>
      <c r="BV40">
        <v>255377.35384371033</v>
      </c>
      <c r="BW40">
        <v>300239.54293908062</v>
      </c>
      <c r="BX40">
        <v>193472.232111221</v>
      </c>
      <c r="BY40">
        <v>293126.77184830635</v>
      </c>
      <c r="BZ40">
        <v>328875.32989004621</v>
      </c>
      <c r="CA40">
        <v>218392.1702399124</v>
      </c>
      <c r="CB40" s="85"/>
      <c r="CC40" s="85"/>
    </row>
    <row r="41" spans="4:81">
      <c r="D41" t="s">
        <v>51</v>
      </c>
      <c r="E41">
        <v>2534022</v>
      </c>
      <c r="F41">
        <v>2557783</v>
      </c>
      <c r="G41">
        <v>2580231</v>
      </c>
      <c r="H41">
        <v>1029166</v>
      </c>
      <c r="I41">
        <v>1089087.0954678201</v>
      </c>
      <c r="J41">
        <v>1268887.6781389299</v>
      </c>
      <c r="K41">
        <v>943378.92951009108</v>
      </c>
      <c r="L41">
        <v>1852175.75616807</v>
      </c>
      <c r="M41">
        <v>2140981.3152767802</v>
      </c>
      <c r="N41">
        <v>1471504.8625756099</v>
      </c>
      <c r="O41">
        <v>2167212.3812125199</v>
      </c>
      <c r="P41">
        <v>2485604.1575467102</v>
      </c>
      <c r="Q41">
        <v>1652075.6290720201</v>
      </c>
      <c r="R41">
        <v>2457967.3034616499</v>
      </c>
      <c r="S41">
        <v>2696270.4702190901</v>
      </c>
      <c r="T41">
        <v>1828845.87689501</v>
      </c>
      <c r="U41" s="88"/>
      <c r="W41" t="s">
        <v>51</v>
      </c>
      <c r="X41">
        <v>11767621.094799999</v>
      </c>
      <c r="Y41">
        <v>12194152.9289</v>
      </c>
      <c r="Z41">
        <v>12593898.821400002</v>
      </c>
      <c r="AA41">
        <v>5099179.1739000008</v>
      </c>
      <c r="AB41">
        <v>5379060</v>
      </c>
      <c r="AC41">
        <v>6396001</v>
      </c>
      <c r="AD41">
        <v>4696875</v>
      </c>
      <c r="AE41">
        <v>8991964</v>
      </c>
      <c r="AF41">
        <v>10632577</v>
      </c>
      <c r="AG41">
        <v>7186841</v>
      </c>
      <c r="AH41">
        <v>10909517</v>
      </c>
      <c r="AI41">
        <v>12622647</v>
      </c>
      <c r="AJ41">
        <v>8275533</v>
      </c>
      <c r="AK41">
        <v>12530354</v>
      </c>
      <c r="AL41">
        <v>13708216</v>
      </c>
      <c r="AM41">
        <v>9240016</v>
      </c>
      <c r="AP41" t="s">
        <v>885</v>
      </c>
      <c r="AQ41" t="s">
        <v>966</v>
      </c>
      <c r="AR41">
        <v>855640</v>
      </c>
      <c r="AS41">
        <v>855483</v>
      </c>
      <c r="AT41">
        <v>857199</v>
      </c>
      <c r="AU41" s="72">
        <v>315239</v>
      </c>
      <c r="AV41" s="72">
        <v>333933.66117544577</v>
      </c>
      <c r="AW41" s="72">
        <v>393491.27517499053</v>
      </c>
      <c r="AX41" s="72">
        <v>286059.72165307426</v>
      </c>
      <c r="AY41" s="72">
        <v>614201.41840135504</v>
      </c>
      <c r="AZ41" s="72">
        <v>718530.01285052928</v>
      </c>
      <c r="BA41" s="72">
        <v>481711.80131315242</v>
      </c>
      <c r="BB41" s="72">
        <v>714055.83563255984</v>
      </c>
      <c r="BC41" s="72">
        <v>829500.47101163235</v>
      </c>
      <c r="BD41" s="72">
        <v>539268.4670109346</v>
      </c>
      <c r="BE41" s="72">
        <v>810550.66268570011</v>
      </c>
      <c r="BF41" s="72">
        <v>902875.13786247896</v>
      </c>
      <c r="BG41" s="72">
        <v>599343.02598098072</v>
      </c>
      <c r="BJ41" t="s">
        <v>885</v>
      </c>
      <c r="BK41" t="s">
        <v>966</v>
      </c>
      <c r="BL41">
        <v>1292579.9484000001</v>
      </c>
      <c r="BM41">
        <v>1304079.9974</v>
      </c>
      <c r="BN41">
        <v>1312454.3742430001</v>
      </c>
      <c r="BO41">
        <v>504647.96365412965</v>
      </c>
      <c r="BP41">
        <v>496819.26088355982</v>
      </c>
      <c r="BQ41">
        <v>588279.61434098065</v>
      </c>
      <c r="BR41">
        <v>426145.01397470245</v>
      </c>
      <c r="BS41">
        <v>931028.81516750006</v>
      </c>
      <c r="BT41">
        <v>1082303.0759905095</v>
      </c>
      <c r="BU41">
        <v>735854.37296150427</v>
      </c>
      <c r="BV41">
        <v>1088340.7464095582</v>
      </c>
      <c r="BW41">
        <v>1268838.1433859039</v>
      </c>
      <c r="BX41">
        <v>839911.05802384764</v>
      </c>
      <c r="BY41">
        <v>1246379.3344022841</v>
      </c>
      <c r="BZ41">
        <v>1390233.5279908534</v>
      </c>
      <c r="CA41">
        <v>944760.54332674935</v>
      </c>
      <c r="CB41" s="85"/>
      <c r="CC41" s="85"/>
    </row>
    <row r="42" spans="4:81">
      <c r="U42" s="88"/>
      <c r="AP42" t="s">
        <v>891</v>
      </c>
      <c r="AQ42" t="s">
        <v>967</v>
      </c>
      <c r="AR42">
        <v>583113</v>
      </c>
      <c r="AS42">
        <v>589712</v>
      </c>
      <c r="AT42">
        <v>593691</v>
      </c>
      <c r="AU42" s="72">
        <v>226648</v>
      </c>
      <c r="AV42" s="72">
        <v>222088.10074680945</v>
      </c>
      <c r="AW42" s="72">
        <v>264723.07750109752</v>
      </c>
      <c r="AX42" s="72">
        <v>188588.94420675881</v>
      </c>
      <c r="AY42" s="72">
        <v>420132.9850321461</v>
      </c>
      <c r="AZ42" s="72">
        <v>494682.45254759793</v>
      </c>
      <c r="BA42" s="72">
        <v>324943.16713915311</v>
      </c>
      <c r="BB42" s="72">
        <v>493823.24840943364</v>
      </c>
      <c r="BC42" s="72">
        <v>577435.68345508841</v>
      </c>
      <c r="BD42" s="72">
        <v>367562.22054049186</v>
      </c>
      <c r="BE42" s="72">
        <v>564455.02444576402</v>
      </c>
      <c r="BF42" s="72">
        <v>631018.27085619408</v>
      </c>
      <c r="BG42" s="72">
        <v>411454.48232805176</v>
      </c>
      <c r="BJ42" t="s">
        <v>891</v>
      </c>
      <c r="BK42" t="s">
        <v>967</v>
      </c>
      <c r="BL42">
        <v>964876.29888999998</v>
      </c>
      <c r="BM42">
        <v>982400.66787</v>
      </c>
      <c r="BN42">
        <v>988876.72052600002</v>
      </c>
      <c r="BO42">
        <v>398601.96178185724</v>
      </c>
      <c r="BP42">
        <v>365723.84182733839</v>
      </c>
      <c r="BQ42">
        <v>439934.21719520993</v>
      </c>
      <c r="BR42">
        <v>314526.92757252441</v>
      </c>
      <c r="BS42">
        <v>694987.03290542425</v>
      </c>
      <c r="BT42">
        <v>807359.51619631331</v>
      </c>
      <c r="BU42">
        <v>545703.96464522078</v>
      </c>
      <c r="BV42">
        <v>817855.48935004731</v>
      </c>
      <c r="BW42">
        <v>956606.01037700009</v>
      </c>
      <c r="BX42">
        <v>625942.15035081154</v>
      </c>
      <c r="BY42">
        <v>939686.26083116059</v>
      </c>
      <c r="BZ42">
        <v>1049018.3233260056</v>
      </c>
      <c r="CA42">
        <v>704193.03909872368</v>
      </c>
      <c r="CB42" s="85"/>
      <c r="CC42" s="85"/>
    </row>
    <row r="43" spans="4:81">
      <c r="CB43" s="85"/>
      <c r="CC43" s="85"/>
    </row>
    <row r="44" spans="4:81">
      <c r="CB44" s="85"/>
      <c r="CC44" s="85"/>
    </row>
    <row r="238" spans="80:81">
      <c r="CB238" s="85"/>
      <c r="CC238" s="85"/>
    </row>
    <row r="239" spans="80:81">
      <c r="CB239" s="85"/>
      <c r="CC239" s="85"/>
    </row>
    <row r="240" spans="80:81">
      <c r="CB240" s="85"/>
      <c r="CC240" s="85"/>
    </row>
    <row r="241" spans="80:81">
      <c r="CB241" s="85"/>
      <c r="CC241" s="85"/>
    </row>
    <row r="242" spans="80:81">
      <c r="CB242" s="85"/>
      <c r="CC242" s="85"/>
    </row>
    <row r="243" spans="80:81">
      <c r="CB243" s="85"/>
      <c r="CC243" s="85"/>
    </row>
    <row r="244" spans="80:81">
      <c r="CB244" s="85"/>
      <c r="CC244" s="85"/>
    </row>
    <row r="245" spans="80:81">
      <c r="CB245" s="85"/>
      <c r="CC245" s="85"/>
    </row>
    <row r="246" spans="80:81">
      <c r="CB246" s="85"/>
      <c r="CC246" s="85"/>
    </row>
    <row r="247" spans="80:81">
      <c r="CB247" s="85"/>
      <c r="CC247" s="85"/>
    </row>
    <row r="248" spans="80:81">
      <c r="CB248" s="85"/>
      <c r="CC248" s="85"/>
    </row>
    <row r="249" spans="80:81">
      <c r="CB249" s="85"/>
      <c r="CC249" s="85"/>
    </row>
    <row r="250" spans="80:81">
      <c r="CB250" s="85"/>
      <c r="CC250" s="85"/>
    </row>
    <row r="251" spans="80:81">
      <c r="CB251" s="85"/>
      <c r="CC251" s="85"/>
    </row>
    <row r="252" spans="80:81">
      <c r="CB252" s="85"/>
      <c r="CC252" s="85"/>
    </row>
    <row r="253" spans="80:81">
      <c r="CB253" s="85"/>
      <c r="CC253" s="85"/>
    </row>
    <row r="254" spans="80:81">
      <c r="CB254" s="85"/>
      <c r="CC254" s="85"/>
    </row>
    <row r="255" spans="80:81">
      <c r="CB255" s="85"/>
      <c r="CC255" s="85"/>
    </row>
    <row r="256" spans="80:81">
      <c r="CB256" s="85"/>
      <c r="CC256" s="85"/>
    </row>
    <row r="257" spans="80:81">
      <c r="CB257" s="85"/>
      <c r="CC257" s="85"/>
    </row>
    <row r="258" spans="80:81">
      <c r="CB258" s="85"/>
      <c r="CC258" s="85"/>
    </row>
    <row r="259" spans="80:81">
      <c r="CB259" s="85"/>
      <c r="CC259" s="85"/>
    </row>
    <row r="260" spans="80:81">
      <c r="CB260" s="85"/>
      <c r="CC260" s="85"/>
    </row>
    <row r="261" spans="80:81">
      <c r="CB261" s="85"/>
      <c r="CC261" s="85"/>
    </row>
    <row r="262" spans="80:81">
      <c r="CB262" s="85"/>
      <c r="CC262" s="85"/>
    </row>
    <row r="263" spans="80:81">
      <c r="CB263" s="85"/>
      <c r="CC263" s="85"/>
    </row>
    <row r="264" spans="80:81">
      <c r="CB264" s="85"/>
      <c r="CC264" s="85"/>
    </row>
    <row r="265" spans="80:81">
      <c r="CB265" s="85"/>
      <c r="CC265" s="85"/>
    </row>
    <row r="266" spans="80:81">
      <c r="CB266" s="85"/>
      <c r="CC266" s="85"/>
    </row>
    <row r="267" spans="80:81">
      <c r="CB267" s="85"/>
      <c r="CC267" s="85"/>
    </row>
    <row r="268" spans="80:81">
      <c r="CB268" s="85"/>
      <c r="CC268" s="85"/>
    </row>
    <row r="269" spans="80:81">
      <c r="CB269" s="85"/>
      <c r="CC269" s="85"/>
    </row>
    <row r="270" spans="80:81">
      <c r="CB270" s="85"/>
      <c r="CC270" s="85"/>
    </row>
    <row r="271" spans="80:81">
      <c r="CB271" s="85"/>
      <c r="CC271" s="85"/>
    </row>
    <row r="272" spans="80:81">
      <c r="CB272" s="85"/>
      <c r="CC272" s="85"/>
    </row>
    <row r="273" spans="80:81">
      <c r="CB273" s="85"/>
      <c r="CC273" s="85"/>
    </row>
    <row r="274" spans="80:81">
      <c r="CB274" s="85"/>
      <c r="CC274" s="85"/>
    </row>
    <row r="275" spans="80:81">
      <c r="CB275" s="85"/>
      <c r="CC275" s="85"/>
    </row>
    <row r="276" spans="80:81">
      <c r="CB276" s="85"/>
      <c r="CC276" s="85"/>
    </row>
    <row r="277" spans="80:81">
      <c r="CB277" s="85"/>
      <c r="CC277" s="85"/>
    </row>
    <row r="278" spans="80:81">
      <c r="CB278" s="85"/>
      <c r="CC278" s="85"/>
    </row>
    <row r="279" spans="80:81">
      <c r="CB279" s="85"/>
      <c r="CC279" s="85"/>
    </row>
    <row r="280" spans="80:81">
      <c r="CB280" s="85"/>
      <c r="CC280" s="85"/>
    </row>
    <row r="281" spans="80:81">
      <c r="CB281" s="85"/>
      <c r="CC281" s="85"/>
    </row>
    <row r="282" spans="80:81">
      <c r="CB282" s="85"/>
      <c r="CC282" s="85"/>
    </row>
    <row r="283" spans="80:81">
      <c r="CB283" s="85"/>
      <c r="CC283" s="85"/>
    </row>
    <row r="284" spans="80:81">
      <c r="CB284" s="85"/>
      <c r="CC284" s="85"/>
    </row>
    <row r="285" spans="80:81">
      <c r="CB285" s="85"/>
      <c r="CC285" s="85"/>
    </row>
    <row r="286" spans="80:81">
      <c r="CB286" s="85"/>
      <c r="CC286" s="85"/>
    </row>
    <row r="287" spans="80:81">
      <c r="CB287" s="85"/>
      <c r="CC287" s="85"/>
    </row>
    <row r="288" spans="80:81">
      <c r="CB288" s="85"/>
      <c r="CC288" s="85"/>
    </row>
    <row r="289" spans="80:81">
      <c r="CB289" s="85"/>
      <c r="CC289" s="85"/>
    </row>
    <row r="290" spans="80:81">
      <c r="CB290" s="85"/>
      <c r="CC290" s="85"/>
    </row>
    <row r="291" spans="80:81">
      <c r="CB291" s="85"/>
      <c r="CC291" s="85"/>
    </row>
    <row r="292" spans="80:81">
      <c r="CB292" s="85"/>
      <c r="CC292" s="85"/>
    </row>
    <row r="293" spans="80:81">
      <c r="CB293" s="85"/>
      <c r="CC293" s="85"/>
    </row>
    <row r="294" spans="80:81">
      <c r="CB294" s="85"/>
      <c r="CC294" s="85"/>
    </row>
    <row r="295" spans="80:81">
      <c r="CB295" s="85"/>
      <c r="CC295" s="85"/>
    </row>
    <row r="296" spans="80:81">
      <c r="CB296" s="85"/>
      <c r="CC296" s="85"/>
    </row>
    <row r="297" spans="80:81">
      <c r="CB297" s="85"/>
      <c r="CC297" s="85"/>
    </row>
    <row r="298" spans="80:81">
      <c r="CB298" s="85"/>
      <c r="CC298" s="85"/>
    </row>
    <row r="299" spans="80:81">
      <c r="CB299" s="85"/>
      <c r="CC299" s="85"/>
    </row>
    <row r="300" spans="80:81">
      <c r="CB300" s="85"/>
      <c r="CC300" s="85"/>
    </row>
    <row r="301" spans="80:81">
      <c r="CB301" s="85"/>
      <c r="CC301" s="85"/>
    </row>
    <row r="302" spans="80:81">
      <c r="CB302" s="85"/>
      <c r="CC302" s="85"/>
    </row>
    <row r="303" spans="80:81">
      <c r="CB303" s="85"/>
      <c r="CC303" s="85"/>
    </row>
    <row r="304" spans="80:81">
      <c r="CB304" s="85"/>
      <c r="CC304" s="85"/>
    </row>
    <row r="305" spans="80:81">
      <c r="CB305" s="85"/>
      <c r="CC305" s="85"/>
    </row>
    <row r="306" spans="80:81">
      <c r="CB306" s="85"/>
      <c r="CC306" s="85"/>
    </row>
    <row r="307" spans="80:81">
      <c r="CB307" s="85"/>
      <c r="CC307" s="85"/>
    </row>
    <row r="308" spans="80:81">
      <c r="CB308" s="85"/>
      <c r="CC308" s="85"/>
    </row>
    <row r="309" spans="80:81">
      <c r="CB309" s="85"/>
      <c r="CC309" s="85"/>
    </row>
    <row r="310" spans="80:81">
      <c r="CB310" s="85"/>
      <c r="CC310" s="85"/>
    </row>
    <row r="311" spans="80:81">
      <c r="CB311" s="85"/>
      <c r="CC311" s="85"/>
    </row>
    <row r="312" spans="80:81">
      <c r="CB312" s="85"/>
      <c r="CC312" s="85"/>
    </row>
    <row r="313" spans="80:81">
      <c r="CB313" s="85"/>
      <c r="CC313" s="85"/>
    </row>
    <row r="314" spans="80:81">
      <c r="CB314" s="85"/>
      <c r="CC314" s="85"/>
    </row>
    <row r="315" spans="80:81">
      <c r="CB315" s="85"/>
      <c r="CC315" s="85"/>
    </row>
    <row r="316" spans="80:81">
      <c r="CB316" s="85"/>
      <c r="CC316" s="85"/>
    </row>
    <row r="317" spans="80:81">
      <c r="CB317" s="85"/>
      <c r="CC317" s="85"/>
    </row>
    <row r="318" spans="80:81">
      <c r="CB318" s="85"/>
      <c r="CC318" s="85"/>
    </row>
    <row r="319" spans="80:81">
      <c r="CB319" s="85"/>
      <c r="CC319" s="85"/>
    </row>
  </sheetData>
  <pageMargins left="0.7" right="0.7" top="0.75" bottom="0.75" header="0.3" footer="0.3"/>
  <pageSetup paperSize="9" orientation="portrait" r:id="rId1"/>
  <tableParts count="4">
    <tablePart r:id="rId2"/>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4">
    <tabColor theme="2" tint="-0.249977111117893"/>
    <pageSetUpPr fitToPage="1"/>
  </sheetPr>
  <dimension ref="A2:P308"/>
  <sheetViews>
    <sheetView showGridLines="0" topLeftCell="A6" zoomScale="110" zoomScaleNormal="110" workbookViewId="0">
      <selection activeCell="N22" sqref="N22"/>
    </sheetView>
  </sheetViews>
  <sheetFormatPr defaultColWidth="9.140625" defaultRowHeight="15"/>
  <cols>
    <col min="1" max="1" width="9.140625" style="4"/>
    <col min="2" max="2" width="51.7109375" style="4" customWidth="1"/>
    <col min="3" max="10" width="7.7109375" style="4" customWidth="1"/>
    <col min="11" max="11" width="8.7109375" style="4" customWidth="1"/>
    <col min="12" max="12" width="1.7109375" style="4" customWidth="1"/>
    <col min="13" max="16384" width="9.140625" style="4"/>
  </cols>
  <sheetData>
    <row r="2" spans="1:15" ht="18.75">
      <c r="A2" s="106"/>
      <c r="B2" s="636" t="s">
        <v>252</v>
      </c>
      <c r="C2" s="636"/>
    </row>
    <row r="3" spans="1:15" ht="15.75" customHeight="1">
      <c r="B3" s="12"/>
    </row>
    <row r="4" spans="1:15" ht="18" thickBot="1">
      <c r="B4" s="683" t="s">
        <v>980</v>
      </c>
      <c r="C4" s="683"/>
    </row>
    <row r="5" spans="1:15">
      <c r="B5" s="143"/>
      <c r="C5" s="143"/>
      <c r="D5" s="143"/>
      <c r="E5" s="143"/>
      <c r="F5" s="143"/>
      <c r="G5" s="143"/>
      <c r="H5" s="143"/>
      <c r="I5" s="143"/>
      <c r="J5" s="143"/>
      <c r="K5" s="143"/>
      <c r="M5" s="38"/>
    </row>
    <row r="6" spans="1:15" ht="15.75">
      <c r="B6" s="164" t="s">
        <v>981</v>
      </c>
      <c r="C6" s="681" t="str">
        <f>IF('1.1 The situation'!$C$82="","",'1.1 The situation'!$C$82)</f>
        <v>Cyprus</v>
      </c>
      <c r="D6" s="682"/>
      <c r="E6" s="682"/>
      <c r="F6" s="682"/>
      <c r="G6" s="682"/>
      <c r="H6" s="682"/>
      <c r="I6" s="682"/>
      <c r="J6" s="682"/>
      <c r="K6" s="682"/>
      <c r="L6" s="144"/>
    </row>
    <row r="7" spans="1:15">
      <c r="C7" s="165"/>
      <c r="D7" s="166"/>
      <c r="E7" s="166"/>
      <c r="F7" s="166"/>
      <c r="G7" s="166"/>
      <c r="H7" s="166"/>
      <c r="I7" s="166"/>
      <c r="J7" s="166"/>
      <c r="K7" s="166"/>
    </row>
    <row r="8" spans="1:15" ht="15" customHeight="1">
      <c r="A8" s="397">
        <f ca="1">MATCH(C8,OFFSET('Dynamic lists'!$S$5,,,'Dynamic lists'!$T$5),0)-1</f>
        <v>2</v>
      </c>
      <c r="B8" s="15" t="s">
        <v>978</v>
      </c>
      <c r="C8" s="671" t="s">
        <v>1864</v>
      </c>
      <c r="D8" s="672"/>
      <c r="E8" s="672"/>
      <c r="F8" s="672"/>
      <c r="G8" s="672"/>
      <c r="H8" s="672"/>
      <c r="I8" s="672"/>
      <c r="J8" s="672"/>
      <c r="K8" s="672"/>
      <c r="L8" s="144"/>
      <c r="M8" s="38"/>
    </row>
    <row r="9" spans="1:15" ht="9.75" customHeight="1">
      <c r="B9" s="15"/>
      <c r="C9" s="160"/>
      <c r="D9" s="160"/>
      <c r="E9" s="160"/>
      <c r="F9" s="160"/>
      <c r="G9" s="160"/>
      <c r="H9" s="160"/>
      <c r="I9" s="160"/>
      <c r="J9" s="160"/>
      <c r="K9" s="160"/>
      <c r="L9" s="15"/>
      <c r="M9" s="15"/>
    </row>
    <row r="10" spans="1:15" ht="24.75" hidden="1">
      <c r="B10" s="167" t="str">
        <f>IF($C8="Select traffic forecast","",$C8)</f>
        <v>Local forecast</v>
      </c>
      <c r="C10" s="169" t="s">
        <v>253</v>
      </c>
      <c r="D10" s="169" t="s">
        <v>254</v>
      </c>
      <c r="E10" s="169" t="s">
        <v>1534</v>
      </c>
      <c r="F10" s="169" t="s">
        <v>1535</v>
      </c>
      <c r="G10" s="169">
        <v>2021</v>
      </c>
      <c r="H10" s="169">
        <v>2022</v>
      </c>
      <c r="I10" s="169">
        <v>2023</v>
      </c>
      <c r="J10" s="169">
        <v>2024</v>
      </c>
      <c r="K10" s="169" t="s">
        <v>1411</v>
      </c>
    </row>
    <row r="11" spans="1:15" hidden="1">
      <c r="B11" s="170" t="s">
        <v>255</v>
      </c>
      <c r="C11" s="171">
        <f>IFERROR(INDEX(STATFOR_Data!E$3:E$41,MATCH($C6,STATFOR_Data!$D$3:$D$41,0))/1000,"-")</f>
        <v>359.54300000000001</v>
      </c>
      <c r="D11" s="171">
        <f>IFERROR(INDEX(STATFOR_Data!F$3:F$41,MATCH($C6,STATFOR_Data!$D$3:$D$41,0))/1000,"-")</f>
        <v>393.55599999999998</v>
      </c>
      <c r="E11" s="171">
        <f>IFERROR(INDEX(STATFOR_Data!G$3:G$41,MATCH($C6,STATFOR_Data!$D$3:$D$41,0))/1000,"-")</f>
        <v>411.46600000000001</v>
      </c>
      <c r="F11" s="171">
        <f>IFERROR(INDEX(STATFOR_Data!H$3:H$41,MATCH($C6,STATFOR_Data!$D$3:$D$41,0))/1000,"-")</f>
        <v>164.21</v>
      </c>
      <c r="G11" s="522">
        <v>253</v>
      </c>
      <c r="H11" s="522">
        <v>361</v>
      </c>
      <c r="I11" s="522">
        <v>420</v>
      </c>
      <c r="J11" s="522">
        <v>438</v>
      </c>
      <c r="K11" s="175">
        <f>IFERROR((($J11/$E11)^(1/5)-1),"-")</f>
        <v>1.2576936363373203E-2</v>
      </c>
      <c r="L11" s="144"/>
      <c r="M11" s="89"/>
      <c r="N11" s="3"/>
    </row>
    <row r="12" spans="1:15" hidden="1">
      <c r="B12" s="170" t="s">
        <v>986</v>
      </c>
      <c r="C12" s="176"/>
      <c r="D12" s="177">
        <f>IFERROR(D11/C11-1,"-")</f>
        <v>9.4600645819832296E-2</v>
      </c>
      <c r="E12" s="177">
        <f>IFERROR(E11/D11-1,"-")</f>
        <v>4.5508136072121896E-2</v>
      </c>
      <c r="F12" s="177">
        <f>IFERROR(F11/E11-1,"-")</f>
        <v>-0.60091477789173342</v>
      </c>
      <c r="G12" s="177">
        <f>IFERROR(IF(G11&lt;&gt;"",G11/F11-1,"-"),"-")</f>
        <v>0.5407100663784179</v>
      </c>
      <c r="H12" s="177">
        <f>IFERROR(IF(H11&lt;&gt;"",H11/G11-1,"-"),"-")</f>
        <v>0.4268774703557312</v>
      </c>
      <c r="I12" s="177">
        <f t="shared" ref="I12:J12" si="0">IFERROR(IF(I11&lt;&gt;"",I11/H11-1,"-"),"-")</f>
        <v>0.16343490304709141</v>
      </c>
      <c r="J12" s="177">
        <f t="shared" si="0"/>
        <v>4.2857142857142927E-2</v>
      </c>
      <c r="K12" s="176"/>
      <c r="L12" s="144"/>
      <c r="M12" s="3"/>
    </row>
    <row r="13" spans="1:15" hidden="1">
      <c r="B13" s="170" t="s">
        <v>979</v>
      </c>
      <c r="C13" s="171">
        <f>IFERROR(INDEX(STATFOR_Data!X$3:X$41,MATCH($C6,STATFOR_Data!$W$3:$W$41,0))/1000,"-")</f>
        <v>1727.9577277999999</v>
      </c>
      <c r="D13" s="171">
        <f>IFERROR(INDEX(STATFOR_Data!Y$3:Y$41,MATCH($C6,STATFOR_Data!$W$3:$W$41,0))/1000,"-")</f>
        <v>1897.4919924000001</v>
      </c>
      <c r="E13" s="171">
        <f>IFERROR(INDEX(STATFOR_Data!Z$3:Z$41,MATCH($C6,STATFOR_Data!$W$3:$W$41,0))/1000,"-")</f>
        <v>2068.1698733000003</v>
      </c>
      <c r="F13" s="171">
        <f>IFERROR(INDEX(STATFOR_Data!AA$3:AA$41,MATCH($C6,STATFOR_Data!$W$3:$W$41,0))/1000,"-")</f>
        <v>852.57868800000006</v>
      </c>
      <c r="G13" s="522">
        <v>1229.8579999999999</v>
      </c>
      <c r="H13" s="522">
        <v>1789.39</v>
      </c>
      <c r="I13" s="522">
        <v>2082.6210000000001</v>
      </c>
      <c r="J13" s="522">
        <v>2169.08</v>
      </c>
      <c r="K13" s="175">
        <f>IFERROR((($J13/$E13)^(1/5)-1),"-")</f>
        <v>9.5733375151643152E-3</v>
      </c>
      <c r="L13" s="144"/>
    </row>
    <row r="14" spans="1:15" hidden="1">
      <c r="B14" s="168" t="s">
        <v>987</v>
      </c>
      <c r="C14" s="173"/>
      <c r="D14" s="174">
        <f>IFERROR(D13/C13-1,"-")</f>
        <v>9.8112506962683366E-2</v>
      </c>
      <c r="E14" s="174">
        <f>IFERROR(E13/D13-1,"-")</f>
        <v>8.9949196931325304E-2</v>
      </c>
      <c r="F14" s="174">
        <f>IFERROR(F13/E13-1,"-")</f>
        <v>-0.5877617699557659</v>
      </c>
      <c r="G14" s="174">
        <f t="shared" ref="G14" si="1">IFERROR(IF(G13&lt;&gt;"",G13/F13-1,"-"),"-")</f>
        <v>0.44251553236104324</v>
      </c>
      <c r="H14" s="174">
        <f t="shared" ref="H14" si="2">IFERROR(IF(H13&lt;&gt;"",H13/G13-1,"-"),"-")</f>
        <v>0.45495658848419906</v>
      </c>
      <c r="I14" s="174">
        <f t="shared" ref="I14" si="3">IFERROR(IF(I13&lt;&gt;"",I13/H13-1,"-"),"-")</f>
        <v>0.16387204578096437</v>
      </c>
      <c r="J14" s="174">
        <f t="shared" ref="J14" si="4">IFERROR(IF(J13&lt;&gt;"",J13/I13-1,"-"),"-")</f>
        <v>4.1514514642846612E-2</v>
      </c>
      <c r="K14" s="172"/>
      <c r="L14" s="144"/>
      <c r="O14" s="3"/>
    </row>
    <row r="15" spans="1:15" ht="9.75" hidden="1" customHeight="1">
      <c r="B15" s="396"/>
      <c r="C15" s="15"/>
      <c r="D15" s="15"/>
      <c r="E15" s="15"/>
      <c r="F15" s="15"/>
      <c r="G15" s="15"/>
      <c r="H15" s="15"/>
      <c r="I15" s="15"/>
      <c r="J15" s="15"/>
      <c r="K15" s="15"/>
      <c r="L15" s="15"/>
      <c r="M15" s="15"/>
    </row>
    <row r="16" spans="1:15" ht="24.75">
      <c r="B16" s="178" t="s">
        <v>278</v>
      </c>
      <c r="C16" s="169" t="s">
        <v>253</v>
      </c>
      <c r="D16" s="169" t="s">
        <v>254</v>
      </c>
      <c r="E16" s="169" t="s">
        <v>1534</v>
      </c>
      <c r="F16" s="169" t="s">
        <v>1535</v>
      </c>
      <c r="G16" s="565" t="s">
        <v>1877</v>
      </c>
      <c r="H16" s="169">
        <v>2022</v>
      </c>
      <c r="I16" s="169">
        <v>2023</v>
      </c>
      <c r="J16" s="169">
        <v>2024</v>
      </c>
      <c r="K16" s="169" t="s">
        <v>1411</v>
      </c>
      <c r="M16" s="169"/>
      <c r="N16" s="169"/>
    </row>
    <row r="17" spans="1:14">
      <c r="B17" s="170" t="s">
        <v>255</v>
      </c>
      <c r="C17" s="171">
        <f>IFERROR(INDEX(STATFOR_Data!E$3:E$41,MATCH($C6,STATFOR_Data!$D$3:$D$41,0))/1000,"-")</f>
        <v>359.54300000000001</v>
      </c>
      <c r="D17" s="171">
        <f>IFERROR(INDEX(STATFOR_Data!F$3:F$41,MATCH($C6,STATFOR_Data!$D$3:$D$41,0))/1000,"-")</f>
        <v>393.55599999999998</v>
      </c>
      <c r="E17" s="171">
        <f>IFERROR(INDEX(STATFOR_Data!G$3:G$41,MATCH($C6,STATFOR_Data!$D$3:$D$41,0))/1000,"-")</f>
        <v>411.46600000000001</v>
      </c>
      <c r="F17" s="171">
        <f>IFERROR(INDEX(STATFOR_Data!H$3:H$41,MATCH($C6,STATFOR_Data!$D$3:$D$41,0))/1000,"-")</f>
        <v>164.21</v>
      </c>
      <c r="G17" s="545">
        <v>251</v>
      </c>
      <c r="H17" s="545">
        <v>363</v>
      </c>
      <c r="I17" s="545">
        <v>417</v>
      </c>
      <c r="J17" s="545">
        <v>436</v>
      </c>
      <c r="K17" s="175">
        <f>IFERROR((($J17/$E17)^(1/5)-1),"-")</f>
        <v>1.1650514924826272E-2</v>
      </c>
      <c r="L17" s="144"/>
      <c r="M17" s="536"/>
      <c r="N17" s="535"/>
    </row>
    <row r="18" spans="1:14">
      <c r="B18" s="170" t="s">
        <v>986</v>
      </c>
      <c r="C18" s="176"/>
      <c r="D18" s="177">
        <f>IFERROR(D17/C17-1,"-")</f>
        <v>9.4600645819832296E-2</v>
      </c>
      <c r="E18" s="177">
        <f t="shared" ref="E18:F18" si="5">IFERROR(E17/D17-1,"-")</f>
        <v>4.5508136072121896E-2</v>
      </c>
      <c r="F18" s="177">
        <f t="shared" si="5"/>
        <v>-0.60091477789173342</v>
      </c>
      <c r="G18" s="180">
        <f>IFERROR(IF(G17&lt;&gt;"",G17/F17-1,"-"),"-")</f>
        <v>0.52853054016198753</v>
      </c>
      <c r="H18" s="180">
        <f>IFERROR(IF(H17&lt;&gt;"",H17/G17-1,"-"),"-")</f>
        <v>0.44621513944223112</v>
      </c>
      <c r="I18" s="180">
        <f t="shared" ref="I18:J18" si="6">IFERROR(IF(I17&lt;&gt;"",I17/H17-1,"-"),"-")</f>
        <v>0.14876033057851235</v>
      </c>
      <c r="J18" s="180">
        <f t="shared" si="6"/>
        <v>4.5563549160671402E-2</v>
      </c>
      <c r="K18" s="176"/>
      <c r="L18" s="144"/>
    </row>
    <row r="19" spans="1:14">
      <c r="B19" s="170" t="s">
        <v>979</v>
      </c>
      <c r="C19" s="171">
        <f>IFERROR(INDEX(STATFOR_Data!X$3:X$41,MATCH($C6,STATFOR_Data!$W$3:$W$41,0))/1000,"-")</f>
        <v>1727.9577277999999</v>
      </c>
      <c r="D19" s="171">
        <f>IFERROR(INDEX(STATFOR_Data!Y$3:Y$41,MATCH($C6,STATFOR_Data!$W$3:$W$41,0))/1000,"-")</f>
        <v>1897.4919924000001</v>
      </c>
      <c r="E19" s="171">
        <f>IFERROR(INDEX(STATFOR_Data!Z$3:Z$41,MATCH($C6,STATFOR_Data!$W$3:$W$41,0))/1000,"-")</f>
        <v>2068.1698733000003</v>
      </c>
      <c r="F19" s="171">
        <f>IFERROR(INDEX(STATFOR_Data!AA$3:AA$41,MATCH($C6,STATFOR_Data!$W$3:$W$41,0))/1000,"-")</f>
        <v>852.57868800000006</v>
      </c>
      <c r="G19" s="545">
        <v>1266</v>
      </c>
      <c r="H19" s="545">
        <v>1837</v>
      </c>
      <c r="I19" s="545">
        <v>2129</v>
      </c>
      <c r="J19" s="545">
        <v>2235</v>
      </c>
      <c r="K19" s="175">
        <f>IFERROR((($J19/$E19)^(1/5)-1),"-")</f>
        <v>1.563641535420901E-2</v>
      </c>
      <c r="L19" s="144"/>
    </row>
    <row r="20" spans="1:14">
      <c r="B20" s="170" t="s">
        <v>987</v>
      </c>
      <c r="C20" s="176"/>
      <c r="D20" s="177">
        <f>IFERROR(D19/C19-1,"-")</f>
        <v>9.8112506962683366E-2</v>
      </c>
      <c r="E20" s="177">
        <f t="shared" ref="E20:F20" si="7">IFERROR(E19/D19-1,"-")</f>
        <v>8.9949196931325304E-2</v>
      </c>
      <c r="F20" s="177">
        <f t="shared" si="7"/>
        <v>-0.5877617699557659</v>
      </c>
      <c r="G20" s="180">
        <f t="shared" ref="G20:J20" si="8">IFERROR(IF(G19&lt;&gt;"",G19/F19-1,"-"),"-")</f>
        <v>0.4849069274412825</v>
      </c>
      <c r="H20" s="180">
        <f t="shared" si="8"/>
        <v>0.45102685624012628</v>
      </c>
      <c r="I20" s="180">
        <f t="shared" si="8"/>
        <v>0.15895481763745245</v>
      </c>
      <c r="J20" s="180">
        <f t="shared" si="8"/>
        <v>4.9788633161108597E-2</v>
      </c>
      <c r="K20" s="176"/>
      <c r="L20" s="144"/>
    </row>
    <row r="21" spans="1:14" customFormat="1">
      <c r="B21" s="306"/>
      <c r="C21" s="306"/>
      <c r="D21" s="306"/>
      <c r="E21" s="306"/>
      <c r="F21" s="306"/>
      <c r="G21" s="306"/>
      <c r="H21" s="306"/>
      <c r="I21" s="306"/>
      <c r="J21" s="306"/>
      <c r="K21" s="306"/>
    </row>
    <row r="22" spans="1:14" customFormat="1" ht="28.5" customHeight="1">
      <c r="B22" s="664" t="s">
        <v>1184</v>
      </c>
      <c r="C22" s="665"/>
      <c r="D22" s="665"/>
      <c r="E22" s="665"/>
      <c r="F22" s="665"/>
      <c r="G22" s="665"/>
      <c r="H22" s="665"/>
      <c r="I22" s="665"/>
      <c r="J22" s="665"/>
      <c r="K22" s="666"/>
      <c r="L22" s="181"/>
    </row>
    <row r="23" spans="1:14" customFormat="1" ht="27" customHeight="1">
      <c r="B23" s="684" t="s">
        <v>1888</v>
      </c>
      <c r="C23" s="685"/>
      <c r="D23" s="685"/>
      <c r="E23" s="685"/>
      <c r="F23" s="685"/>
      <c r="G23" s="685"/>
      <c r="H23" s="685"/>
      <c r="I23" s="685"/>
      <c r="J23" s="685"/>
      <c r="K23" s="686"/>
      <c r="L23" s="182"/>
    </row>
    <row r="24" spans="1:14" customFormat="1" ht="28.5" customHeight="1">
      <c r="B24" s="687" t="s">
        <v>281</v>
      </c>
      <c r="C24" s="687"/>
      <c r="D24" s="687"/>
      <c r="E24" s="687"/>
      <c r="F24" s="687"/>
      <c r="G24" s="687"/>
      <c r="H24" s="687"/>
      <c r="I24" s="687"/>
      <c r="J24" s="687"/>
      <c r="K24" s="687"/>
      <c r="L24" s="4"/>
    </row>
    <row r="26" spans="1:14" ht="15.75" hidden="1">
      <c r="B26" s="164" t="s">
        <v>982</v>
      </c>
      <c r="C26" s="681" t="str">
        <f>IF('1.1 The situation'!$C$83="","",'1.1 The situation'!$C$83)</f>
        <v/>
      </c>
      <c r="D26" s="682"/>
      <c r="E26" s="682"/>
      <c r="F26" s="682"/>
      <c r="G26" s="682"/>
      <c r="H26" s="682"/>
      <c r="I26" s="682"/>
      <c r="J26" s="682"/>
      <c r="K26" s="682"/>
      <c r="L26" s="144"/>
      <c r="M26" s="3"/>
    </row>
    <row r="27" spans="1:14" hidden="1">
      <c r="C27" s="165"/>
      <c r="D27" s="166"/>
      <c r="E27" s="166"/>
      <c r="F27" s="166"/>
      <c r="G27" s="166"/>
      <c r="H27" s="166"/>
      <c r="I27" s="166"/>
      <c r="J27" s="166"/>
      <c r="K27" s="166"/>
    </row>
    <row r="28" spans="1:14" ht="15" hidden="1" customHeight="1">
      <c r="A28" s="397">
        <f ca="1">MATCH(C28,OFFSET('Dynamic lists'!$S$5,,,'Dynamic lists'!$T$5),0)-1</f>
        <v>0</v>
      </c>
      <c r="B28" s="15" t="s">
        <v>978</v>
      </c>
      <c r="C28" s="671" t="s">
        <v>412</v>
      </c>
      <c r="D28" s="672"/>
      <c r="E28" s="672"/>
      <c r="F28" s="672"/>
      <c r="G28" s="672"/>
      <c r="H28" s="672"/>
      <c r="I28" s="672"/>
      <c r="J28" s="672"/>
      <c r="K28" s="672"/>
      <c r="L28" s="144"/>
      <c r="M28" s="38"/>
    </row>
    <row r="29" spans="1:14" ht="9.75" hidden="1" customHeight="1">
      <c r="B29" s="15"/>
      <c r="C29" s="160"/>
      <c r="D29" s="160"/>
      <c r="E29" s="160"/>
      <c r="F29" s="160"/>
      <c r="G29" s="160"/>
      <c r="H29" s="160"/>
      <c r="I29" s="160"/>
      <c r="J29" s="160"/>
      <c r="K29" s="160"/>
      <c r="L29" s="15"/>
      <c r="M29" s="15"/>
    </row>
    <row r="30" spans="1:14" ht="24.75" hidden="1">
      <c r="B30" s="167" t="str">
        <f>IF($C28="Select traffic forecast","",$C28)</f>
        <v/>
      </c>
      <c r="C30" s="169" t="s">
        <v>253</v>
      </c>
      <c r="D30" s="169" t="s">
        <v>254</v>
      </c>
      <c r="E30" s="169" t="s">
        <v>1534</v>
      </c>
      <c r="F30" s="169" t="s">
        <v>1535</v>
      </c>
      <c r="G30" s="169">
        <v>2021</v>
      </c>
      <c r="H30" s="169">
        <v>2022</v>
      </c>
      <c r="I30" s="169">
        <v>2023</v>
      </c>
      <c r="J30" s="169">
        <v>2024</v>
      </c>
      <c r="K30" s="169" t="s">
        <v>1411</v>
      </c>
    </row>
    <row r="31" spans="1:14" hidden="1">
      <c r="B31" s="170" t="s">
        <v>255</v>
      </c>
      <c r="C31" s="171" t="str">
        <f>IFERROR(INDEX(STATFOR_Data!E$3:E$41,MATCH($C26,STATFOR_Data!$D$3:$D$41,0))/1000,"-")</f>
        <v>-</v>
      </c>
      <c r="D31" s="171" t="str">
        <f>IFERROR(INDEX(STATFOR_Data!F$3:F$41,MATCH($C26,STATFOR_Data!$D$3:$D$41,0))/1000,"-")</f>
        <v>-</v>
      </c>
      <c r="E31" s="171" t="str">
        <f>IFERROR(INDEX(STATFOR_Data!G$3:G$41,MATCH($C26,STATFOR_Data!$D$3:$D$41,0))/1000,"-")</f>
        <v>-</v>
      </c>
      <c r="F31" s="171" t="str">
        <f>IFERROR(INDEX(STATFOR_Data!H$3:H$41,MATCH($C26,STATFOR_Data!$D$3:$D$41,0))/1000,"-")</f>
        <v>-</v>
      </c>
      <c r="G31" s="171" t="str">
        <f ca="1">IFERROR(INDEX(INDIRECT("Table_STATF_"&amp;MID($C$28,SEARCH("forecast",$C$28)+9,3)&amp;"21_ERT_MVT["&amp;G$30&amp;"B]"),MATCH($C$26,INDIRECT("Table_STATF_"&amp;MID($C$28,SEARCH("forecast",$C$28)+9,3)&amp;"21_ERT_MVT[ER_CZ]"),0))/1000,"-")</f>
        <v>-</v>
      </c>
      <c r="H31" s="171" t="str">
        <f t="shared" ref="H31:J31" ca="1" si="9">IFERROR(INDEX(INDIRECT("Table_STATF_"&amp;MID($C$28,SEARCH("forecast",$C$28)+9,3)&amp;"21_ERT_MVT["&amp;H$30&amp;"B]"),MATCH($C$26,INDIRECT("Table_STATF_"&amp;MID($C$28,SEARCH("forecast",$C$28)+9,3)&amp;"21_ERT_MVT[ER_CZ]"),0))/1000,"-")</f>
        <v>-</v>
      </c>
      <c r="I31" s="171" t="str">
        <f t="shared" ca="1" si="9"/>
        <v>-</v>
      </c>
      <c r="J31" s="171" t="str">
        <f t="shared" ca="1" si="9"/>
        <v>-</v>
      </c>
      <c r="K31" s="175" t="str">
        <f ca="1">IFERROR((($J31/$E31)^(1/5)-1),"-")</f>
        <v>-</v>
      </c>
      <c r="L31" s="144"/>
    </row>
    <row r="32" spans="1:14" hidden="1">
      <c r="B32" s="170" t="s">
        <v>986</v>
      </c>
      <c r="C32" s="176"/>
      <c r="D32" s="177" t="str">
        <f>IFERROR(D31/C31-1,"-")</f>
        <v>-</v>
      </c>
      <c r="E32" s="177" t="str">
        <f>IFERROR(E31/D31-1,"-")</f>
        <v>-</v>
      </c>
      <c r="F32" s="177" t="str">
        <f>IFERROR(F31/E31-1,"-")</f>
        <v>-</v>
      </c>
      <c r="G32" s="177" t="str">
        <f t="shared" ref="G32" ca="1" si="10">IFERROR(IF(G31&lt;&gt;"",G31/F31-1,"-"),"-")</f>
        <v>-</v>
      </c>
      <c r="H32" s="177" t="str">
        <f t="shared" ref="H32" ca="1" si="11">IFERROR(IF(H31&lt;&gt;"",H31/G31-1,"-"),"-")</f>
        <v>-</v>
      </c>
      <c r="I32" s="177" t="str">
        <f t="shared" ref="I32" ca="1" si="12">IFERROR(IF(I31&lt;&gt;"",I31/H31-1,"-"),"-")</f>
        <v>-</v>
      </c>
      <c r="J32" s="177" t="str">
        <f t="shared" ref="J32" ca="1" si="13">IFERROR(IF(J31&lt;&gt;"",J31/I31-1,"-"),"-")</f>
        <v>-</v>
      </c>
      <c r="K32" s="176"/>
      <c r="L32" s="144"/>
    </row>
    <row r="33" spans="1:13" hidden="1">
      <c r="B33" s="170" t="s">
        <v>979</v>
      </c>
      <c r="C33" s="171" t="str">
        <f>IFERROR(INDEX(STATFOR_Data!X$3:X$41,MATCH($C26,STATFOR_Data!$W$3:$W$41,0))/1000,"-")</f>
        <v>-</v>
      </c>
      <c r="D33" s="171" t="str">
        <f>IFERROR(INDEX(STATFOR_Data!Y$3:Y$41,MATCH($C26,STATFOR_Data!$W$3:$W$41,0))/1000,"-")</f>
        <v>-</v>
      </c>
      <c r="E33" s="171" t="str">
        <f>IFERROR(INDEX(STATFOR_Data!Z$3:Z$41,MATCH($C26,STATFOR_Data!$W$3:$W$41,0))/1000,"-")</f>
        <v>-</v>
      </c>
      <c r="F33" s="171" t="str">
        <f>IFERROR(INDEX(STATFOR_Data!AA$3:AA$41,MATCH($C26,STATFOR_Data!$W$3:$W$41,0))/1000,"-")</f>
        <v>-</v>
      </c>
      <c r="G33" s="171" t="str">
        <f ca="1">IFERROR(INDEX(INDIRECT("Table_STATF_"&amp;MID($C$28,SEARCH("forecast",$C$28)+9,3)&amp;"21_ERT_SU["&amp;G$30&amp;"B]"),MATCH($C$26,INDIRECT("Table_STATF_"&amp;MID($C$28,SEARCH("forecast",$C$28)+9,3)&amp;"21_ERT_MVT[ER_CZ]"),0))/1000,"-")</f>
        <v>-</v>
      </c>
      <c r="H33" s="171" t="str">
        <f t="shared" ref="H33:J33" ca="1" si="14">IFERROR(INDEX(INDIRECT("Table_STATF_"&amp;MID($C$28,SEARCH("forecast",$C$28)+9,3)&amp;"21_ERT_SU["&amp;H$30&amp;"B]"),MATCH($C$26,INDIRECT("Table_STATF_"&amp;MID($C$28,SEARCH("forecast",$C$28)+9,3)&amp;"21_ERT_MVT[ER_CZ]"),0))/1000,"-")</f>
        <v>-</v>
      </c>
      <c r="I33" s="171" t="str">
        <f t="shared" ca="1" si="14"/>
        <v>-</v>
      </c>
      <c r="J33" s="171" t="str">
        <f t="shared" ca="1" si="14"/>
        <v>-</v>
      </c>
      <c r="K33" s="175" t="str">
        <f ca="1">IFERROR((($J33/$E33)^(1/5)-1),"-")</f>
        <v>-</v>
      </c>
      <c r="L33" s="144"/>
    </row>
    <row r="34" spans="1:13" hidden="1">
      <c r="B34" s="168" t="s">
        <v>987</v>
      </c>
      <c r="C34" s="173"/>
      <c r="D34" s="174" t="str">
        <f>IFERROR(D33/C33-1,"-")</f>
        <v>-</v>
      </c>
      <c r="E34" s="174" t="str">
        <f>IFERROR(E33/D33-1,"-")</f>
        <v>-</v>
      </c>
      <c r="F34" s="174" t="str">
        <f>IFERROR(F33/E33-1,"-")</f>
        <v>-</v>
      </c>
      <c r="G34" s="174" t="str">
        <f t="shared" ref="G34" ca="1" si="15">IFERROR(IF(G33&lt;&gt;"",G33/F33-1,"-"),"-")</f>
        <v>-</v>
      </c>
      <c r="H34" s="174" t="str">
        <f t="shared" ref="H34" ca="1" si="16">IFERROR(IF(H33&lt;&gt;"",H33/G33-1,"-"),"-")</f>
        <v>-</v>
      </c>
      <c r="I34" s="174" t="str">
        <f t="shared" ref="I34" ca="1" si="17">IFERROR(IF(I33&lt;&gt;"",I33/H33-1,"-"),"-")</f>
        <v>-</v>
      </c>
      <c r="J34" s="174" t="str">
        <f t="shared" ref="J34" ca="1" si="18">IFERROR(IF(J33&lt;&gt;"",J33/I33-1,"-"),"-")</f>
        <v>-</v>
      </c>
      <c r="K34" s="172"/>
      <c r="L34" s="144"/>
    </row>
    <row r="35" spans="1:13" ht="9.75" hidden="1" customHeight="1">
      <c r="B35" s="15"/>
      <c r="C35" s="15"/>
      <c r="D35" s="15"/>
      <c r="E35" s="15"/>
      <c r="F35" s="15"/>
      <c r="G35" s="15"/>
      <c r="H35" s="15"/>
      <c r="I35" s="15"/>
      <c r="J35" s="15"/>
      <c r="K35" s="15"/>
      <c r="L35" s="15"/>
      <c r="M35" s="15"/>
    </row>
    <row r="36" spans="1:13" ht="24.75" hidden="1">
      <c r="B36" s="178" t="s">
        <v>278</v>
      </c>
      <c r="C36" s="169" t="s">
        <v>253</v>
      </c>
      <c r="D36" s="169" t="s">
        <v>254</v>
      </c>
      <c r="E36" s="169" t="s">
        <v>1534</v>
      </c>
      <c r="F36" s="169" t="s">
        <v>1535</v>
      </c>
      <c r="G36" s="169">
        <v>2021</v>
      </c>
      <c r="H36" s="169">
        <v>2022</v>
      </c>
      <c r="I36" s="169">
        <v>2023</v>
      </c>
      <c r="J36" s="169">
        <v>2024</v>
      </c>
      <c r="K36" s="169" t="s">
        <v>1411</v>
      </c>
    </row>
    <row r="37" spans="1:13" hidden="1">
      <c r="B37" s="170" t="s">
        <v>255</v>
      </c>
      <c r="C37" s="171" t="str">
        <f>IFERROR(INDEX(STATFOR_Data!E$3:E$41,MATCH($C26,STATFOR_Data!$D$3:$D$41,0))/1000,"-")</f>
        <v>-</v>
      </c>
      <c r="D37" s="171" t="str">
        <f>IFERROR(INDEX(STATFOR_Data!F$3:F$41,MATCH($C26,STATFOR_Data!$D$3:$D$41,0))/1000,"-")</f>
        <v>-</v>
      </c>
      <c r="E37" s="171" t="str">
        <f>IFERROR(INDEX(STATFOR_Data!G$3:G$41,MATCH($C26,STATFOR_Data!$D$3:$D$41,0))/1000,"-")</f>
        <v>-</v>
      </c>
      <c r="F37" s="171" t="str">
        <f>IFERROR(INDEX(STATFOR_Data!H$3:H$41,MATCH($C26,STATFOR_Data!$D$3:$D$41,0))/1000,"-")</f>
        <v>-</v>
      </c>
      <c r="G37" s="179"/>
      <c r="H37" s="179"/>
      <c r="I37" s="179"/>
      <c r="J37" s="179"/>
      <c r="K37" s="175" t="str">
        <f>IFERROR((($J37/$E37)^(1/5)-1),"-")</f>
        <v>-</v>
      </c>
      <c r="L37" s="144"/>
      <c r="M37" s="87"/>
    </row>
    <row r="38" spans="1:13" hidden="1">
      <c r="B38" s="170" t="s">
        <v>986</v>
      </c>
      <c r="C38" s="176"/>
      <c r="D38" s="177" t="str">
        <f>IFERROR(D37/C37-1,"-")</f>
        <v>-</v>
      </c>
      <c r="E38" s="177" t="str">
        <f t="shared" ref="E38:F38" si="19">IFERROR(E37/D37-1,"-")</f>
        <v>-</v>
      </c>
      <c r="F38" s="177" t="str">
        <f t="shared" si="19"/>
        <v>-</v>
      </c>
      <c r="G38" s="180"/>
      <c r="H38" s="180"/>
      <c r="I38" s="180"/>
      <c r="J38" s="180"/>
      <c r="K38" s="176"/>
      <c r="L38" s="144"/>
    </row>
    <row r="39" spans="1:13" hidden="1">
      <c r="B39" s="170" t="s">
        <v>979</v>
      </c>
      <c r="C39" s="171" t="str">
        <f>IFERROR(INDEX(STATFOR_Data!X$3:X$41,MATCH($C26,STATFOR_Data!$W$3:$W$41,0))/1000,"-")</f>
        <v>-</v>
      </c>
      <c r="D39" s="171" t="str">
        <f>IFERROR(INDEX(STATFOR_Data!Y$3:Y$41,MATCH($C26,STATFOR_Data!$W$3:$W$41,0))/1000,"-")</f>
        <v>-</v>
      </c>
      <c r="E39" s="171" t="str">
        <f>IFERROR(INDEX(STATFOR_Data!Z$3:Z$41,MATCH($C26,STATFOR_Data!$W$3:$W$41,0))/1000,"-")</f>
        <v>-</v>
      </c>
      <c r="F39" s="171" t="str">
        <f>IFERROR(INDEX(STATFOR_Data!AA$3:AA$41,MATCH($C26,STATFOR_Data!$W$3:$W$41,0))/1000,"-")</f>
        <v>-</v>
      </c>
      <c r="G39" s="179"/>
      <c r="H39" s="179"/>
      <c r="I39" s="179"/>
      <c r="J39" s="179"/>
      <c r="K39" s="175" t="str">
        <f>IFERROR((($J39/$E39)^(1/5)-1),"-")</f>
        <v>-</v>
      </c>
      <c r="L39" s="144"/>
    </row>
    <row r="40" spans="1:13" hidden="1">
      <c r="B40" s="170" t="s">
        <v>987</v>
      </c>
      <c r="C40" s="176"/>
      <c r="D40" s="177" t="str">
        <f>IFERROR(D39/C39-1,"-")</f>
        <v>-</v>
      </c>
      <c r="E40" s="177" t="str">
        <f t="shared" ref="E40:F40" si="20">IFERROR(E39/D39-1,"-")</f>
        <v>-</v>
      </c>
      <c r="F40" s="177" t="str">
        <f t="shared" si="20"/>
        <v>-</v>
      </c>
      <c r="G40" s="180"/>
      <c r="H40" s="180"/>
      <c r="I40" s="180"/>
      <c r="J40" s="180"/>
      <c r="K40" s="176"/>
      <c r="L40" s="144"/>
    </row>
    <row r="41" spans="1:13" customFormat="1" hidden="1">
      <c r="B41" s="306"/>
      <c r="C41" s="306"/>
      <c r="D41" s="306"/>
      <c r="E41" s="306"/>
      <c r="F41" s="306"/>
      <c r="G41" s="306"/>
      <c r="H41" s="306"/>
      <c r="I41" s="306"/>
      <c r="J41" s="306"/>
      <c r="K41" s="306"/>
    </row>
    <row r="42" spans="1:13" customFormat="1" ht="28.5" hidden="1" customHeight="1">
      <c r="B42" s="678" t="s">
        <v>1184</v>
      </c>
      <c r="C42" s="679"/>
      <c r="D42" s="679"/>
      <c r="E42" s="679"/>
      <c r="F42" s="679"/>
      <c r="G42" s="679"/>
      <c r="H42" s="679"/>
      <c r="I42" s="679"/>
      <c r="J42" s="679"/>
      <c r="K42" s="680"/>
      <c r="L42" s="296"/>
    </row>
    <row r="43" spans="1:13" customFormat="1" ht="27" hidden="1" customHeight="1">
      <c r="B43" s="676"/>
      <c r="C43" s="677"/>
      <c r="D43" s="677"/>
      <c r="E43" s="677"/>
      <c r="F43" s="677"/>
      <c r="G43" s="677"/>
      <c r="H43" s="677"/>
      <c r="I43" s="677"/>
      <c r="J43" s="677"/>
      <c r="K43" s="677"/>
      <c r="L43" s="182"/>
    </row>
    <row r="44" spans="1:13" customFormat="1" ht="28.5" hidden="1" customHeight="1">
      <c r="B44" s="667" t="s">
        <v>281</v>
      </c>
      <c r="C44" s="667"/>
      <c r="D44" s="667"/>
      <c r="E44" s="667"/>
      <c r="F44" s="667"/>
      <c r="G44" s="667"/>
      <c r="H44" s="667"/>
      <c r="I44" s="667"/>
      <c r="J44" s="667"/>
      <c r="K44" s="667"/>
      <c r="L44" s="4"/>
    </row>
    <row r="45" spans="1:13" hidden="1"/>
    <row r="46" spans="1:13" ht="15.75" hidden="1">
      <c r="B46" s="164" t="s">
        <v>983</v>
      </c>
      <c r="C46" s="668" t="str">
        <f>IF('1.1 The situation'!$C$84="","",'1.1 The situation'!$C$84)</f>
        <v/>
      </c>
      <c r="D46" s="669"/>
      <c r="E46" s="669"/>
      <c r="F46" s="669"/>
      <c r="G46" s="669"/>
      <c r="H46" s="669"/>
      <c r="I46" s="669"/>
      <c r="J46" s="669"/>
      <c r="K46" s="670"/>
      <c r="L46" s="144"/>
      <c r="M46" s="3"/>
    </row>
    <row r="47" spans="1:13" hidden="1">
      <c r="C47" s="165"/>
      <c r="D47" s="166"/>
      <c r="E47" s="166"/>
      <c r="F47" s="166"/>
      <c r="G47" s="166"/>
      <c r="H47" s="166"/>
      <c r="I47" s="166"/>
      <c r="J47" s="166"/>
      <c r="K47" s="166"/>
    </row>
    <row r="48" spans="1:13" ht="15" hidden="1" customHeight="1">
      <c r="A48" s="397">
        <f ca="1">MATCH(C48,OFFSET('Dynamic lists'!$S$5,,,'Dynamic lists'!$T$5),0)-1</f>
        <v>0</v>
      </c>
      <c r="B48" s="15" t="s">
        <v>978</v>
      </c>
      <c r="C48" s="671" t="s">
        <v>412</v>
      </c>
      <c r="D48" s="672"/>
      <c r="E48" s="672"/>
      <c r="F48" s="672"/>
      <c r="G48" s="672"/>
      <c r="H48" s="672"/>
      <c r="I48" s="672"/>
      <c r="J48" s="672"/>
      <c r="K48" s="672"/>
      <c r="L48" s="144"/>
      <c r="M48" s="38"/>
    </row>
    <row r="49" spans="2:13" ht="9.75" hidden="1" customHeight="1">
      <c r="B49" s="15"/>
      <c r="C49" s="160"/>
      <c r="D49" s="160"/>
      <c r="E49" s="160"/>
      <c r="F49" s="160"/>
      <c r="G49" s="160"/>
      <c r="H49" s="160"/>
      <c r="I49" s="160"/>
      <c r="J49" s="160"/>
      <c r="K49" s="160"/>
      <c r="L49" s="15"/>
      <c r="M49" s="15"/>
    </row>
    <row r="50" spans="2:13" ht="24.75" hidden="1">
      <c r="B50" s="167" t="str">
        <f>IF($C48="Select traffic forecast","",$C48)</f>
        <v/>
      </c>
      <c r="C50" s="169" t="s">
        <v>253</v>
      </c>
      <c r="D50" s="169" t="s">
        <v>254</v>
      </c>
      <c r="E50" s="169" t="s">
        <v>1534</v>
      </c>
      <c r="F50" s="169" t="s">
        <v>1535</v>
      </c>
      <c r="G50" s="169">
        <v>2021</v>
      </c>
      <c r="H50" s="169">
        <v>2022</v>
      </c>
      <c r="I50" s="169">
        <v>2023</v>
      </c>
      <c r="J50" s="169">
        <v>2024</v>
      </c>
      <c r="K50" s="169" t="s">
        <v>1411</v>
      </c>
    </row>
    <row r="51" spans="2:13" hidden="1">
      <c r="B51" s="170" t="s">
        <v>255</v>
      </c>
      <c r="C51" s="171" t="str">
        <f>IFERROR(INDEX(STATFOR_Data!E$3:E$41,MATCH($C46,STATFOR_Data!$D$3:$D$41,0))/1000,"-")</f>
        <v>-</v>
      </c>
      <c r="D51" s="171" t="str">
        <f>IFERROR(INDEX(STATFOR_Data!F$3:F$41,MATCH($C46,STATFOR_Data!$D$3:$D$41,0))/1000,"-")</f>
        <v>-</v>
      </c>
      <c r="E51" s="171" t="str">
        <f>IFERROR(INDEX(STATFOR_Data!G$3:G$41,MATCH($C46,STATFOR_Data!$D$3:$D$41,0))/1000,"-")</f>
        <v>-</v>
      </c>
      <c r="F51" s="171" t="str">
        <f>IFERROR(INDEX(STATFOR_Data!H$3:H$41,MATCH($C46,STATFOR_Data!$D$3:$D$41,0))/1000,"-")</f>
        <v>-</v>
      </c>
      <c r="G51" s="171" t="str">
        <f ca="1">IFERROR(INDEX(INDIRECT("Table_STATF_"&amp;MID($C$48,SEARCH("forecast",$C$48)+9,3)&amp;"21_ERT_MVT["&amp;G$50&amp;"B]"),MATCH($C$46,INDIRECT("Table_STATF_"&amp;MID($C$48,SEARCH("forecast",$C$48)+9,3)&amp;"21_ERT_MVT[ER_CZ]"),0))/1000,"-")</f>
        <v>-</v>
      </c>
      <c r="H51" s="171" t="str">
        <f t="shared" ref="H51:J51" ca="1" si="21">IFERROR(INDEX(INDIRECT("Table_STATF_"&amp;MID($C$48,SEARCH("forecast",$C$48)+9,3)&amp;"21_ERT_MVT["&amp;H$50&amp;"B]"),MATCH($C$46,INDIRECT("Table_STATF_"&amp;MID($C$48,SEARCH("forecast",$C$48)+9,3)&amp;"21_ERT_MVT[ER_CZ]"),0))/1000,"-")</f>
        <v>-</v>
      </c>
      <c r="I51" s="171" t="str">
        <f t="shared" ca="1" si="21"/>
        <v>-</v>
      </c>
      <c r="J51" s="171" t="str">
        <f t="shared" ca="1" si="21"/>
        <v>-</v>
      </c>
      <c r="K51" s="175" t="str">
        <f ca="1">IFERROR((($J51/$E51)^(1/5)-1),"-")</f>
        <v>-</v>
      </c>
      <c r="L51" s="144"/>
    </row>
    <row r="52" spans="2:13" hidden="1">
      <c r="B52" s="170" t="s">
        <v>986</v>
      </c>
      <c r="C52" s="176"/>
      <c r="D52" s="177" t="str">
        <f>IFERROR(D51/C51-1,"-")</f>
        <v>-</v>
      </c>
      <c r="E52" s="177" t="str">
        <f>IFERROR(E51/D51-1,"-")</f>
        <v>-</v>
      </c>
      <c r="F52" s="177" t="str">
        <f>IFERROR(F51/E51-1,"-")</f>
        <v>-</v>
      </c>
      <c r="G52" s="177" t="str">
        <f t="shared" ref="G52" ca="1" si="22">IFERROR(IF(G51&lt;&gt;"",G51/F51-1,"-"),"-")</f>
        <v>-</v>
      </c>
      <c r="H52" s="177" t="str">
        <f t="shared" ref="H52" ca="1" si="23">IFERROR(IF(H51&lt;&gt;"",H51/G51-1,"-"),"-")</f>
        <v>-</v>
      </c>
      <c r="I52" s="177" t="str">
        <f t="shared" ref="I52" ca="1" si="24">IFERROR(IF(I51&lt;&gt;"",I51/H51-1,"-"),"-")</f>
        <v>-</v>
      </c>
      <c r="J52" s="177" t="str">
        <f t="shared" ref="J52" ca="1" si="25">IFERROR(IF(J51&lt;&gt;"",J51/I51-1,"-"),"-")</f>
        <v>-</v>
      </c>
      <c r="K52" s="176"/>
      <c r="L52" s="144"/>
    </row>
    <row r="53" spans="2:13" hidden="1">
      <c r="B53" s="170" t="s">
        <v>979</v>
      </c>
      <c r="C53" s="171" t="str">
        <f>IFERROR(INDEX(STATFOR_Data!X$3:X$41,MATCH($C46,STATFOR_Data!$W$3:$W$41,0))/1000,"-")</f>
        <v>-</v>
      </c>
      <c r="D53" s="171" t="str">
        <f>IFERROR(INDEX(STATFOR_Data!Y$3:Y$41,MATCH($C46,STATFOR_Data!$W$3:$W$41,0))/1000,"-")</f>
        <v>-</v>
      </c>
      <c r="E53" s="171" t="str">
        <f>IFERROR(INDEX(STATFOR_Data!Z$3:Z$41,MATCH($C46,STATFOR_Data!$W$3:$W$41,0))/1000,"-")</f>
        <v>-</v>
      </c>
      <c r="F53" s="171" t="str">
        <f>IFERROR(INDEX(STATFOR_Data!AA$3:AA$41,MATCH($C46,STATFOR_Data!$W$3:$W$41,0))/1000,"-")</f>
        <v>-</v>
      </c>
      <c r="G53" s="171" t="str">
        <f ca="1">IFERROR(INDEX(INDIRECT("Table_STATF_"&amp;MID($C$48,SEARCH("forecast",$C$48)+9,3)&amp;"21_ERT_SU["&amp;G$50&amp;"B]"),MATCH($C$46,INDIRECT("Table_STATF_"&amp;MID($C$48,SEARCH("forecast",$C$48)+9,3)&amp;"21_ERT_MVT[ER_CZ]"),0))/1000,"-")</f>
        <v>-</v>
      </c>
      <c r="H53" s="171" t="str">
        <f t="shared" ref="H53:J53" ca="1" si="26">IFERROR(INDEX(INDIRECT("Table_STATF_"&amp;MID($C$48,SEARCH("forecast",$C$48)+9,3)&amp;"21_ERT_SU["&amp;H$50&amp;"B]"),MATCH($C$46,INDIRECT("Table_STATF_"&amp;MID($C$48,SEARCH("forecast",$C$48)+9,3)&amp;"21_ERT_MVT[ER_CZ]"),0))/1000,"-")</f>
        <v>-</v>
      </c>
      <c r="I53" s="171" t="str">
        <f t="shared" ca="1" si="26"/>
        <v>-</v>
      </c>
      <c r="J53" s="171" t="str">
        <f t="shared" ca="1" si="26"/>
        <v>-</v>
      </c>
      <c r="K53" s="175" t="str">
        <f ca="1">IFERROR((($J53/$E53)^(1/5)-1),"-")</f>
        <v>-</v>
      </c>
      <c r="L53" s="144"/>
    </row>
    <row r="54" spans="2:13" hidden="1">
      <c r="B54" s="168" t="s">
        <v>987</v>
      </c>
      <c r="C54" s="173"/>
      <c r="D54" s="174" t="str">
        <f>IFERROR(D53/C53-1,"-")</f>
        <v>-</v>
      </c>
      <c r="E54" s="174" t="str">
        <f>IFERROR(E53/D53-1,"-")</f>
        <v>-</v>
      </c>
      <c r="F54" s="174" t="str">
        <f>IFERROR(F53/E53-1,"-")</f>
        <v>-</v>
      </c>
      <c r="G54" s="174" t="str">
        <f t="shared" ref="G54" ca="1" si="27">IFERROR(IF(G53&lt;&gt;"",G53/F53-1,"-"),"-")</f>
        <v>-</v>
      </c>
      <c r="H54" s="174" t="str">
        <f t="shared" ref="H54" ca="1" si="28">IFERROR(IF(H53&lt;&gt;"",H53/G53-1,"-"),"-")</f>
        <v>-</v>
      </c>
      <c r="I54" s="174" t="str">
        <f t="shared" ref="I54" ca="1" si="29">IFERROR(IF(I53&lt;&gt;"",I53/H53-1,"-"),"-")</f>
        <v>-</v>
      </c>
      <c r="J54" s="174" t="str">
        <f t="shared" ref="J54" ca="1" si="30">IFERROR(IF(J53&lt;&gt;"",J53/I53-1,"-"),"-")</f>
        <v>-</v>
      </c>
      <c r="K54" s="172"/>
      <c r="L54" s="144"/>
    </row>
    <row r="55" spans="2:13" ht="9.75" hidden="1" customHeight="1">
      <c r="B55" s="15"/>
      <c r="C55" s="15"/>
      <c r="D55" s="15"/>
      <c r="E55" s="15"/>
      <c r="F55" s="15"/>
      <c r="G55" s="15"/>
      <c r="H55" s="15"/>
      <c r="I55" s="15"/>
      <c r="J55" s="15"/>
      <c r="K55" s="15"/>
      <c r="L55" s="15"/>
      <c r="M55" s="15"/>
    </row>
    <row r="56" spans="2:13" ht="24.75" hidden="1">
      <c r="B56" s="178" t="s">
        <v>278</v>
      </c>
      <c r="C56" s="169" t="s">
        <v>253</v>
      </c>
      <c r="D56" s="169" t="s">
        <v>254</v>
      </c>
      <c r="E56" s="169" t="s">
        <v>1534</v>
      </c>
      <c r="F56" s="169" t="s">
        <v>1535</v>
      </c>
      <c r="G56" s="169">
        <v>2021</v>
      </c>
      <c r="H56" s="169">
        <v>2022</v>
      </c>
      <c r="I56" s="169">
        <v>2023</v>
      </c>
      <c r="J56" s="169">
        <v>2024</v>
      </c>
      <c r="K56" s="169" t="s">
        <v>1411</v>
      </c>
    </row>
    <row r="57" spans="2:13" hidden="1">
      <c r="B57" s="170" t="s">
        <v>255</v>
      </c>
      <c r="C57" s="171" t="str">
        <f>IFERROR(INDEX(STATFOR_Data!E$3:E$41,MATCH($C46,STATFOR_Data!$D$3:$D$41,0))/1000,"-")</f>
        <v>-</v>
      </c>
      <c r="D57" s="171" t="str">
        <f>IFERROR(INDEX(STATFOR_Data!F$3:F$41,MATCH($C46,STATFOR_Data!$D$3:$D$41,0))/1000,"-")</f>
        <v>-</v>
      </c>
      <c r="E57" s="171" t="str">
        <f>IFERROR(INDEX(STATFOR_Data!G$3:G$41,MATCH($C46,STATFOR_Data!$D$3:$D$41,0))/1000,"-")</f>
        <v>-</v>
      </c>
      <c r="F57" s="171" t="str">
        <f>IFERROR(INDEX(STATFOR_Data!H$3:H$41,MATCH($C46,STATFOR_Data!$D$3:$D$41,0))/1000,"-")</f>
        <v>-</v>
      </c>
      <c r="G57" s="179"/>
      <c r="H57" s="179"/>
      <c r="I57" s="179"/>
      <c r="J57" s="179"/>
      <c r="K57" s="175" t="str">
        <f>IFERROR((($J57/$E57)^(1/5)-1),"-")</f>
        <v>-</v>
      </c>
      <c r="L57" s="144"/>
      <c r="M57" s="87"/>
    </row>
    <row r="58" spans="2:13" hidden="1">
      <c r="B58" s="170" t="s">
        <v>986</v>
      </c>
      <c r="C58" s="176"/>
      <c r="D58" s="177" t="str">
        <f>IFERROR(D57/C57-1,"-")</f>
        <v>-</v>
      </c>
      <c r="E58" s="177" t="str">
        <f t="shared" ref="E58:F58" si="31">IFERROR(E57/D57-1,"-")</f>
        <v>-</v>
      </c>
      <c r="F58" s="177" t="str">
        <f t="shared" si="31"/>
        <v>-</v>
      </c>
      <c r="G58" s="180"/>
      <c r="H58" s="180"/>
      <c r="I58" s="180"/>
      <c r="J58" s="180"/>
      <c r="K58" s="176"/>
      <c r="L58" s="144"/>
    </row>
    <row r="59" spans="2:13" hidden="1">
      <c r="B59" s="170" t="s">
        <v>979</v>
      </c>
      <c r="C59" s="171" t="str">
        <f>IFERROR(INDEX(STATFOR_Data!X$3:X$41,MATCH($C46,STATFOR_Data!$W$3:$W$41,0))/1000,"-")</f>
        <v>-</v>
      </c>
      <c r="D59" s="171" t="str">
        <f>IFERROR(INDEX(STATFOR_Data!Y$3:Y$41,MATCH($C46,STATFOR_Data!$W$3:$W$41,0))/1000,"-")</f>
        <v>-</v>
      </c>
      <c r="E59" s="171" t="str">
        <f>IFERROR(INDEX(STATFOR_Data!Z$3:Z$41,MATCH($C46,STATFOR_Data!$W$3:$W$41,0))/1000,"-")</f>
        <v>-</v>
      </c>
      <c r="F59" s="171" t="str">
        <f>IFERROR(INDEX(STATFOR_Data!AA$3:AA$41,MATCH($C46,STATFOR_Data!$W$3:$W$41,0))/1000,"-")</f>
        <v>-</v>
      </c>
      <c r="G59" s="179"/>
      <c r="H59" s="179"/>
      <c r="I59" s="179"/>
      <c r="J59" s="179"/>
      <c r="K59" s="175" t="str">
        <f>IFERROR((($J59/$E59)^(1/5)-1),"-")</f>
        <v>-</v>
      </c>
      <c r="L59" s="144"/>
    </row>
    <row r="60" spans="2:13" hidden="1">
      <c r="B60" s="170" t="s">
        <v>987</v>
      </c>
      <c r="C60" s="176"/>
      <c r="D60" s="177" t="str">
        <f>IFERROR(D59/C59-1,"-")</f>
        <v>-</v>
      </c>
      <c r="E60" s="177" t="str">
        <f t="shared" ref="E60:F60" si="32">IFERROR(E59/D59-1,"-")</f>
        <v>-</v>
      </c>
      <c r="F60" s="177" t="str">
        <f t="shared" si="32"/>
        <v>-</v>
      </c>
      <c r="G60" s="180"/>
      <c r="H60" s="180"/>
      <c r="I60" s="180"/>
      <c r="J60" s="180"/>
      <c r="K60" s="176"/>
      <c r="L60" s="144"/>
    </row>
    <row r="61" spans="2:13" customFormat="1" hidden="1">
      <c r="B61" s="306"/>
      <c r="C61" s="306"/>
      <c r="D61" s="306"/>
      <c r="E61" s="306"/>
      <c r="F61" s="306"/>
      <c r="G61" s="306"/>
      <c r="H61" s="306"/>
      <c r="I61" s="306"/>
      <c r="J61" s="306"/>
      <c r="K61" s="306"/>
    </row>
    <row r="62" spans="2:13" customFormat="1" ht="28.5" hidden="1" customHeight="1">
      <c r="B62" s="664" t="s">
        <v>1184</v>
      </c>
      <c r="C62" s="665"/>
      <c r="D62" s="665"/>
      <c r="E62" s="665"/>
      <c r="F62" s="665"/>
      <c r="G62" s="665"/>
      <c r="H62" s="665"/>
      <c r="I62" s="665"/>
      <c r="J62" s="665"/>
      <c r="K62" s="666"/>
      <c r="L62" s="181"/>
    </row>
    <row r="63" spans="2:13" customFormat="1" ht="27" hidden="1" customHeight="1">
      <c r="B63" s="637"/>
      <c r="C63" s="638"/>
      <c r="D63" s="638"/>
      <c r="E63" s="638"/>
      <c r="F63" s="638"/>
      <c r="G63" s="638"/>
      <c r="H63" s="638"/>
      <c r="I63" s="638"/>
      <c r="J63" s="638"/>
      <c r="K63" s="638"/>
      <c r="L63" s="182"/>
    </row>
    <row r="64" spans="2:13" customFormat="1" ht="28.5" hidden="1" customHeight="1">
      <c r="B64" s="667" t="s">
        <v>281</v>
      </c>
      <c r="C64" s="667"/>
      <c r="D64" s="667"/>
      <c r="E64" s="667"/>
      <c r="F64" s="667"/>
      <c r="G64" s="667"/>
      <c r="H64" s="667"/>
      <c r="I64" s="667"/>
      <c r="J64" s="667"/>
      <c r="K64" s="667"/>
      <c r="L64" s="4"/>
    </row>
    <row r="65" spans="1:13" hidden="1"/>
    <row r="66" spans="1:13" ht="15.75" hidden="1">
      <c r="B66" s="164" t="s">
        <v>984</v>
      </c>
      <c r="C66" s="681" t="str">
        <f>IF('1.1 The situation'!$C$85="","",'1.1 The situation'!$C$85)</f>
        <v/>
      </c>
      <c r="D66" s="682"/>
      <c r="E66" s="682"/>
      <c r="F66" s="682"/>
      <c r="G66" s="682"/>
      <c r="H66" s="682"/>
      <c r="I66" s="682"/>
      <c r="J66" s="682"/>
      <c r="K66" s="682"/>
      <c r="L66" s="144"/>
      <c r="M66" s="3"/>
    </row>
    <row r="67" spans="1:13" hidden="1">
      <c r="C67" s="165"/>
      <c r="D67" s="166"/>
      <c r="E67" s="166"/>
      <c r="F67" s="166"/>
      <c r="G67" s="166"/>
      <c r="H67" s="166"/>
      <c r="I67" s="166"/>
      <c r="J67" s="166"/>
      <c r="K67" s="166"/>
    </row>
    <row r="68" spans="1:13" ht="15" hidden="1" customHeight="1">
      <c r="A68" s="397">
        <f ca="1">MATCH(C68,OFFSET('Dynamic lists'!$S$5,,,'Dynamic lists'!$T$5),0)-1</f>
        <v>0</v>
      </c>
      <c r="B68" s="15" t="s">
        <v>978</v>
      </c>
      <c r="C68" s="671" t="s">
        <v>412</v>
      </c>
      <c r="D68" s="672"/>
      <c r="E68" s="672"/>
      <c r="F68" s="672"/>
      <c r="G68" s="672"/>
      <c r="H68" s="672"/>
      <c r="I68" s="672"/>
      <c r="J68" s="672"/>
      <c r="K68" s="672"/>
      <c r="L68" s="144"/>
      <c r="M68" s="38"/>
    </row>
    <row r="69" spans="1:13" ht="9.75" hidden="1" customHeight="1">
      <c r="B69" s="15"/>
      <c r="C69" s="160"/>
      <c r="D69" s="160"/>
      <c r="E69" s="160"/>
      <c r="F69" s="160"/>
      <c r="G69" s="160"/>
      <c r="H69" s="160"/>
      <c r="I69" s="160"/>
      <c r="J69" s="160"/>
      <c r="K69" s="160"/>
      <c r="L69" s="15"/>
      <c r="M69" s="15"/>
    </row>
    <row r="70" spans="1:13" ht="24.75" hidden="1">
      <c r="B70" s="167" t="str">
        <f>IF($C68="Select traffic forecast","",$C68)</f>
        <v/>
      </c>
      <c r="C70" s="169" t="s">
        <v>253</v>
      </c>
      <c r="D70" s="169" t="s">
        <v>254</v>
      </c>
      <c r="E70" s="169" t="s">
        <v>1534</v>
      </c>
      <c r="F70" s="169" t="s">
        <v>1535</v>
      </c>
      <c r="G70" s="169">
        <v>2021</v>
      </c>
      <c r="H70" s="169">
        <v>2022</v>
      </c>
      <c r="I70" s="169">
        <v>2023</v>
      </c>
      <c r="J70" s="169">
        <v>2024</v>
      </c>
      <c r="K70" s="169" t="s">
        <v>1411</v>
      </c>
    </row>
    <row r="71" spans="1:13" hidden="1">
      <c r="B71" s="170" t="s">
        <v>255</v>
      </c>
      <c r="C71" s="171" t="str">
        <f>IFERROR(INDEX(STATFOR_Data!E$3:E$41,MATCH($C66,STATFOR_Data!$D$3:$D$41,0))/1000,"-")</f>
        <v>-</v>
      </c>
      <c r="D71" s="171" t="str">
        <f>IFERROR(INDEX(STATFOR_Data!F$3:F$41,MATCH($C66,STATFOR_Data!$D$3:$D$41,0))/1000,"-")</f>
        <v>-</v>
      </c>
      <c r="E71" s="171" t="str">
        <f>IFERROR(INDEX(STATFOR_Data!G$3:G$41,MATCH($C66,STATFOR_Data!$D$3:$D$41,0))/1000,"-")</f>
        <v>-</v>
      </c>
      <c r="F71" s="171" t="str">
        <f>IFERROR(INDEX(STATFOR_Data!H$3:H$41,MATCH($C66,STATFOR_Data!$D$3:$D$41,0))/1000,"-")</f>
        <v>-</v>
      </c>
      <c r="G71" s="171" t="str">
        <f ca="1">IFERROR(INDEX(INDIRECT("Table_STATF_"&amp;MID($C$68,SEARCH("forecast",$C$68)+9,3)&amp;"21_ERT_MVT["&amp;G$70&amp;"B]"),MATCH($C$66,INDIRECT("Table_STATF_"&amp;MID($C$68,SEARCH("forecast",$C$68)+9,3)&amp;"21_ERT_MVT[ER_CZ]"),0))/1000,"-")</f>
        <v>-</v>
      </c>
      <c r="H71" s="171" t="str">
        <f t="shared" ref="H71:J71" ca="1" si="33">IFERROR(INDEX(INDIRECT("Table_STATF_"&amp;MID($C$68,SEARCH("forecast",$C$68)+9,3)&amp;"21_ERT_MVT["&amp;H$70&amp;"B]"),MATCH($C$66,INDIRECT("Table_STATF_"&amp;MID($C$68,SEARCH("forecast",$C$68)+9,3)&amp;"21_ERT_MVT[ER_CZ]"),0))/1000,"-")</f>
        <v>-</v>
      </c>
      <c r="I71" s="171" t="str">
        <f t="shared" ca="1" si="33"/>
        <v>-</v>
      </c>
      <c r="J71" s="171" t="str">
        <f t="shared" ca="1" si="33"/>
        <v>-</v>
      </c>
      <c r="K71" s="175" t="str">
        <f ca="1">IFERROR((($J71/$E71)^(1/5)-1),"-")</f>
        <v>-</v>
      </c>
      <c r="L71" s="144"/>
    </row>
    <row r="72" spans="1:13" hidden="1">
      <c r="B72" s="170" t="s">
        <v>986</v>
      </c>
      <c r="C72" s="176"/>
      <c r="D72" s="177" t="str">
        <f>IFERROR(D71/C71-1,"-")</f>
        <v>-</v>
      </c>
      <c r="E72" s="177" t="str">
        <f>IFERROR(E71/D71-1,"-")</f>
        <v>-</v>
      </c>
      <c r="F72" s="177" t="str">
        <f>IFERROR(F71/E71-1,"-")</f>
        <v>-</v>
      </c>
      <c r="G72" s="177" t="str">
        <f t="shared" ref="G72" ca="1" si="34">IFERROR(IF(G71&lt;&gt;"",G71/F71-1,"-"),"-")</f>
        <v>-</v>
      </c>
      <c r="H72" s="177" t="str">
        <f t="shared" ref="H72" ca="1" si="35">IFERROR(IF(H71&lt;&gt;"",H71/G71-1,"-"),"-")</f>
        <v>-</v>
      </c>
      <c r="I72" s="177" t="str">
        <f t="shared" ref="I72" ca="1" si="36">IFERROR(IF(I71&lt;&gt;"",I71/H71-1,"-"),"-")</f>
        <v>-</v>
      </c>
      <c r="J72" s="177" t="str">
        <f t="shared" ref="J72" ca="1" si="37">IFERROR(IF(J71&lt;&gt;"",J71/I71-1,"-"),"-")</f>
        <v>-</v>
      </c>
      <c r="K72" s="176"/>
      <c r="L72" s="144"/>
    </row>
    <row r="73" spans="1:13" hidden="1">
      <c r="B73" s="170" t="s">
        <v>979</v>
      </c>
      <c r="C73" s="171" t="str">
        <f>IFERROR(INDEX(STATFOR_Data!X$3:X$41,MATCH($C66,STATFOR_Data!$W$3:$W$41,0))/1000,"-")</f>
        <v>-</v>
      </c>
      <c r="D73" s="171" t="str">
        <f>IFERROR(INDEX(STATFOR_Data!Y$3:Y$41,MATCH($C66,STATFOR_Data!$W$3:$W$41,0))/1000,"-")</f>
        <v>-</v>
      </c>
      <c r="E73" s="171" t="str">
        <f>IFERROR(INDEX(STATFOR_Data!Z$3:Z$41,MATCH($C66,STATFOR_Data!$W$3:$W$41,0))/1000,"-")</f>
        <v>-</v>
      </c>
      <c r="F73" s="171" t="str">
        <f>IFERROR(INDEX(STATFOR_Data!AA$3:AA$41,MATCH($C66,STATFOR_Data!$W$3:$W$41,0))/1000,"-")</f>
        <v>-</v>
      </c>
      <c r="G73" s="171" t="str">
        <f ca="1">IFERROR(INDEX(INDIRECT("Table_STATF_"&amp;MID($C$68,SEARCH("forecast",$C$68)+9,3)&amp;"21_ERT_SU["&amp;G$70&amp;"B]"),MATCH($C$66,INDIRECT("Table_STATF_"&amp;MID($C$68,SEARCH("forecast",$C$68)+9,3)&amp;"21_ERT_MVT[ER_CZ]"),0))/1000,"-")</f>
        <v>-</v>
      </c>
      <c r="H73" s="171" t="str">
        <f t="shared" ref="H73:J73" ca="1" si="38">IFERROR(INDEX(INDIRECT("Table_STATF_"&amp;MID($C$68,SEARCH("forecast",$C$68)+9,3)&amp;"21_ERT_SU["&amp;H$70&amp;"B]"),MATCH($C$66,INDIRECT("Table_STATF_"&amp;MID($C$68,SEARCH("forecast",$C$68)+9,3)&amp;"21_ERT_MVT[ER_CZ]"),0))/1000,"-")</f>
        <v>-</v>
      </c>
      <c r="I73" s="171" t="str">
        <f t="shared" ca="1" si="38"/>
        <v>-</v>
      </c>
      <c r="J73" s="171" t="str">
        <f t="shared" ca="1" si="38"/>
        <v>-</v>
      </c>
      <c r="K73" s="175" t="str">
        <f ca="1">IFERROR((($J73/$E73)^(1/5)-1),"-")</f>
        <v>-</v>
      </c>
      <c r="L73" s="144"/>
    </row>
    <row r="74" spans="1:13" hidden="1">
      <c r="B74" s="168" t="s">
        <v>987</v>
      </c>
      <c r="C74" s="173"/>
      <c r="D74" s="174" t="str">
        <f>IFERROR(D73/C73-1,"-")</f>
        <v>-</v>
      </c>
      <c r="E74" s="174" t="str">
        <f>IFERROR(E73/D73-1,"-")</f>
        <v>-</v>
      </c>
      <c r="F74" s="174" t="str">
        <f>IFERROR(F73/E73-1,"-")</f>
        <v>-</v>
      </c>
      <c r="G74" s="174" t="str">
        <f t="shared" ref="G74" ca="1" si="39">IFERROR(IF(G73&lt;&gt;"",G73/F73-1,"-"),"-")</f>
        <v>-</v>
      </c>
      <c r="H74" s="174" t="str">
        <f t="shared" ref="H74" ca="1" si="40">IFERROR(IF(H73&lt;&gt;"",H73/G73-1,"-"),"-")</f>
        <v>-</v>
      </c>
      <c r="I74" s="174" t="str">
        <f t="shared" ref="I74" ca="1" si="41">IFERROR(IF(I73&lt;&gt;"",I73/H73-1,"-"),"-")</f>
        <v>-</v>
      </c>
      <c r="J74" s="174" t="str">
        <f t="shared" ref="J74" ca="1" si="42">IFERROR(IF(J73&lt;&gt;"",J73/I73-1,"-"),"-")</f>
        <v>-</v>
      </c>
      <c r="K74" s="172"/>
      <c r="L74" s="144"/>
    </row>
    <row r="75" spans="1:13" ht="9.75" hidden="1" customHeight="1">
      <c r="B75" s="15"/>
      <c r="C75" s="15"/>
      <c r="D75" s="15"/>
      <c r="E75" s="15"/>
      <c r="F75" s="15"/>
      <c r="G75" s="15"/>
      <c r="H75" s="15"/>
      <c r="I75" s="15"/>
      <c r="J75" s="15"/>
      <c r="K75" s="15"/>
      <c r="L75" s="15"/>
      <c r="M75" s="15"/>
    </row>
    <row r="76" spans="1:13" ht="24.75" hidden="1">
      <c r="B76" s="178" t="s">
        <v>278</v>
      </c>
      <c r="C76" s="169" t="s">
        <v>253</v>
      </c>
      <c r="D76" s="169" t="s">
        <v>254</v>
      </c>
      <c r="E76" s="169" t="s">
        <v>1534</v>
      </c>
      <c r="F76" s="169" t="s">
        <v>1535</v>
      </c>
      <c r="G76" s="169">
        <v>2021</v>
      </c>
      <c r="H76" s="169">
        <v>2022</v>
      </c>
      <c r="I76" s="169">
        <v>2023</v>
      </c>
      <c r="J76" s="169">
        <v>2024</v>
      </c>
      <c r="K76" s="169" t="s">
        <v>1411</v>
      </c>
    </row>
    <row r="77" spans="1:13" hidden="1">
      <c r="B77" s="170" t="s">
        <v>255</v>
      </c>
      <c r="C77" s="171" t="str">
        <f>IFERROR(INDEX(STATFOR_Data!E$3:E$41,MATCH($C66,STATFOR_Data!$D$3:$D$41,0))/1000,"-")</f>
        <v>-</v>
      </c>
      <c r="D77" s="171" t="str">
        <f>IFERROR(INDEX(STATFOR_Data!F$3:F$41,MATCH($C66,STATFOR_Data!$D$3:$D$41,0))/1000,"-")</f>
        <v>-</v>
      </c>
      <c r="E77" s="171" t="str">
        <f>IFERROR(INDEX(STATFOR_Data!G$3:G$41,MATCH($C66,STATFOR_Data!$D$3:$D$41,0))/1000,"-")</f>
        <v>-</v>
      </c>
      <c r="F77" s="171" t="str">
        <f>IFERROR(INDEX(STATFOR_Data!H$3:H$41,MATCH($C66,STATFOR_Data!$D$3:$D$41,0))/1000,"-")</f>
        <v>-</v>
      </c>
      <c r="G77" s="179"/>
      <c r="H77" s="179"/>
      <c r="I77" s="179"/>
      <c r="J77" s="179"/>
      <c r="K77" s="175" t="str">
        <f>IFERROR((($J77/$E77)^(1/5)-1),"-")</f>
        <v>-</v>
      </c>
      <c r="L77" s="144"/>
      <c r="M77" s="87"/>
    </row>
    <row r="78" spans="1:13" hidden="1">
      <c r="B78" s="170" t="s">
        <v>986</v>
      </c>
      <c r="C78" s="176"/>
      <c r="D78" s="177" t="str">
        <f>IFERROR(D77/C77-1,"-")</f>
        <v>-</v>
      </c>
      <c r="E78" s="177" t="str">
        <f t="shared" ref="E78:F78" si="43">IFERROR(E77/D77-1,"-")</f>
        <v>-</v>
      </c>
      <c r="F78" s="177" t="str">
        <f t="shared" si="43"/>
        <v>-</v>
      </c>
      <c r="G78" s="180"/>
      <c r="H78" s="180"/>
      <c r="I78" s="180"/>
      <c r="J78" s="180"/>
      <c r="K78" s="176"/>
      <c r="L78" s="144"/>
    </row>
    <row r="79" spans="1:13" hidden="1">
      <c r="B79" s="170" t="s">
        <v>979</v>
      </c>
      <c r="C79" s="171" t="str">
        <f>IFERROR(INDEX(STATFOR_Data!X$3:X$41,MATCH($C66,STATFOR_Data!$W$3:$W$41,0))/1000,"-")</f>
        <v>-</v>
      </c>
      <c r="D79" s="171" t="str">
        <f>IFERROR(INDEX(STATFOR_Data!Y$3:Y$41,MATCH($C66,STATFOR_Data!$W$3:$W$41,0))/1000,"-")</f>
        <v>-</v>
      </c>
      <c r="E79" s="171" t="str">
        <f>IFERROR(INDEX(STATFOR_Data!Z$3:Z$41,MATCH($C66,STATFOR_Data!$W$3:$W$41,0))/1000,"-")</f>
        <v>-</v>
      </c>
      <c r="F79" s="171" t="str">
        <f>IFERROR(INDEX(STATFOR_Data!AA$3:AA$41,MATCH($C66,STATFOR_Data!$W$3:$W$41,0))/1000,"-")</f>
        <v>-</v>
      </c>
      <c r="G79" s="179"/>
      <c r="H79" s="179"/>
      <c r="I79" s="179"/>
      <c r="J79" s="179"/>
      <c r="K79" s="175" t="str">
        <f>IFERROR((($J79/$E79)^(1/5)-1),"-")</f>
        <v>-</v>
      </c>
      <c r="L79" s="144"/>
    </row>
    <row r="80" spans="1:13" hidden="1">
      <c r="B80" s="170" t="s">
        <v>987</v>
      </c>
      <c r="C80" s="176"/>
      <c r="D80" s="177" t="str">
        <f>IFERROR(D79/C79-1,"-")</f>
        <v>-</v>
      </c>
      <c r="E80" s="177" t="str">
        <f t="shared" ref="E80:F80" si="44">IFERROR(E79/D79-1,"-")</f>
        <v>-</v>
      </c>
      <c r="F80" s="177" t="str">
        <f t="shared" si="44"/>
        <v>-</v>
      </c>
      <c r="G80" s="180"/>
      <c r="H80" s="180"/>
      <c r="I80" s="180"/>
      <c r="J80" s="180"/>
      <c r="K80" s="176"/>
      <c r="L80" s="144"/>
    </row>
    <row r="81" spans="1:13" customFormat="1" hidden="1">
      <c r="B81" s="306"/>
      <c r="C81" s="306"/>
      <c r="D81" s="306"/>
      <c r="E81" s="306"/>
      <c r="F81" s="306"/>
      <c r="G81" s="306"/>
      <c r="H81" s="306"/>
      <c r="I81" s="306"/>
      <c r="J81" s="306"/>
      <c r="K81" s="306"/>
    </row>
    <row r="82" spans="1:13" customFormat="1" ht="28.5" hidden="1" customHeight="1">
      <c r="B82" s="664" t="s">
        <v>1184</v>
      </c>
      <c r="C82" s="665"/>
      <c r="D82" s="665"/>
      <c r="E82" s="665"/>
      <c r="F82" s="665"/>
      <c r="G82" s="665"/>
      <c r="H82" s="665"/>
      <c r="I82" s="665"/>
      <c r="J82" s="665"/>
      <c r="K82" s="666"/>
      <c r="L82" s="181"/>
    </row>
    <row r="83" spans="1:13" customFormat="1" ht="27" hidden="1" customHeight="1">
      <c r="B83" s="637"/>
      <c r="C83" s="638"/>
      <c r="D83" s="638"/>
      <c r="E83" s="638"/>
      <c r="F83" s="638"/>
      <c r="G83" s="638"/>
      <c r="H83" s="638"/>
      <c r="I83" s="638"/>
      <c r="J83" s="638"/>
      <c r="K83" s="638"/>
      <c r="L83" s="182"/>
    </row>
    <row r="84" spans="1:13" customFormat="1" ht="28.5" hidden="1" customHeight="1">
      <c r="B84" s="667" t="s">
        <v>281</v>
      </c>
      <c r="C84" s="667"/>
      <c r="D84" s="667"/>
      <c r="E84" s="667"/>
      <c r="F84" s="667"/>
      <c r="G84" s="667"/>
      <c r="H84" s="667"/>
      <c r="I84" s="667"/>
      <c r="J84" s="667"/>
      <c r="K84" s="667"/>
      <c r="L84" s="4"/>
    </row>
    <row r="85" spans="1:13" hidden="1"/>
    <row r="86" spans="1:13" ht="15.75" hidden="1">
      <c r="B86" s="164" t="s">
        <v>985</v>
      </c>
      <c r="C86" s="681" t="str">
        <f>IF('1.1 The situation'!$C$86="","",'1.1 The situation'!$C$86)</f>
        <v/>
      </c>
      <c r="D86" s="682"/>
      <c r="E86" s="682"/>
      <c r="F86" s="682"/>
      <c r="G86" s="682"/>
      <c r="H86" s="682"/>
      <c r="I86" s="682"/>
      <c r="J86" s="682"/>
      <c r="K86" s="682"/>
      <c r="L86" s="144"/>
      <c r="M86" s="3"/>
    </row>
    <row r="87" spans="1:13" hidden="1">
      <c r="C87" s="165"/>
      <c r="D87" s="166"/>
      <c r="E87" s="166"/>
      <c r="F87" s="166"/>
      <c r="G87" s="166"/>
      <c r="H87" s="166"/>
      <c r="I87" s="166"/>
      <c r="J87" s="166"/>
      <c r="K87" s="166"/>
    </row>
    <row r="88" spans="1:13" ht="15" hidden="1" customHeight="1">
      <c r="A88" s="397">
        <f ca="1">MATCH(C88,OFFSET('Dynamic lists'!$S$5,,,'Dynamic lists'!$T$5),0)-1</f>
        <v>0</v>
      </c>
      <c r="B88" s="15" t="s">
        <v>978</v>
      </c>
      <c r="C88" s="671" t="s">
        <v>412</v>
      </c>
      <c r="D88" s="672"/>
      <c r="E88" s="672"/>
      <c r="F88" s="672"/>
      <c r="G88" s="672"/>
      <c r="H88" s="672"/>
      <c r="I88" s="672"/>
      <c r="J88" s="672"/>
      <c r="K88" s="672"/>
      <c r="L88" s="144"/>
      <c r="M88" s="38"/>
    </row>
    <row r="89" spans="1:13" ht="9.75" hidden="1" customHeight="1">
      <c r="B89" s="15"/>
      <c r="C89" s="160"/>
      <c r="D89" s="160"/>
      <c r="E89" s="160"/>
      <c r="F89" s="160"/>
      <c r="G89" s="160"/>
      <c r="H89" s="160"/>
      <c r="I89" s="160"/>
      <c r="J89" s="160"/>
      <c r="K89" s="160"/>
      <c r="L89" s="15"/>
      <c r="M89" s="15"/>
    </row>
    <row r="90" spans="1:13" ht="24.75" hidden="1">
      <c r="B90" s="167" t="str">
        <f>IF($C88="Select traffic forecast","",$C88)</f>
        <v/>
      </c>
      <c r="C90" s="169" t="s">
        <v>253</v>
      </c>
      <c r="D90" s="169" t="s">
        <v>254</v>
      </c>
      <c r="E90" s="169" t="s">
        <v>1534</v>
      </c>
      <c r="F90" s="169" t="s">
        <v>1535</v>
      </c>
      <c r="G90" s="169">
        <v>2021</v>
      </c>
      <c r="H90" s="169">
        <v>2022</v>
      </c>
      <c r="I90" s="169">
        <v>2023</v>
      </c>
      <c r="J90" s="169">
        <v>2024</v>
      </c>
      <c r="K90" s="169" t="s">
        <v>1411</v>
      </c>
    </row>
    <row r="91" spans="1:13" hidden="1">
      <c r="B91" s="170" t="s">
        <v>255</v>
      </c>
      <c r="C91" s="171" t="str">
        <f>IFERROR(INDEX(STATFOR_Data!E$3:E$41,MATCH($C86,STATFOR_Data!$D$3:$D$41,0))/1000,"-")</f>
        <v>-</v>
      </c>
      <c r="D91" s="171" t="str">
        <f>IFERROR(INDEX(STATFOR_Data!F$3:F$41,MATCH($C86,STATFOR_Data!$D$3:$D$41,0))/1000,"-")</f>
        <v>-</v>
      </c>
      <c r="E91" s="171" t="str">
        <f>IFERROR(INDEX(STATFOR_Data!G$3:G$41,MATCH($C86,STATFOR_Data!$D$3:$D$41,0))/1000,"-")</f>
        <v>-</v>
      </c>
      <c r="F91" s="171" t="str">
        <f>IFERROR(INDEX(STATFOR_Data!H$3:H$41,MATCH($C86,STATFOR_Data!$D$3:$D$41,0))/1000,"-")</f>
        <v>-</v>
      </c>
      <c r="G91" s="171" t="str">
        <f ca="1">IFERROR(INDEX(INDIRECT("Table_STATF_"&amp;MID($C$88,SEARCH("forecast",$C$88)+9,3)&amp;"21_ERT_MVT["&amp;G$90&amp;"B]"),MATCH($C$86,INDIRECT("Table_STATF_"&amp;MID($C$88,SEARCH("forecast",$C$88)+9,3)&amp;"21_ERT_MVT[ER_CZ]"),0))/1000,"-")</f>
        <v>-</v>
      </c>
      <c r="H91" s="171" t="str">
        <f t="shared" ref="H91:J91" ca="1" si="45">IFERROR(INDEX(INDIRECT("Table_STATF_"&amp;MID($C$88,SEARCH("forecast",$C$88)+9,3)&amp;"21_ERT_MVT["&amp;H$90&amp;"B]"),MATCH($C$86,INDIRECT("Table_STATF_"&amp;MID($C$88,SEARCH("forecast",$C$88)+9,3)&amp;"21_ERT_MVT[ER_CZ]"),0))/1000,"-")</f>
        <v>-</v>
      </c>
      <c r="I91" s="171" t="str">
        <f t="shared" ca="1" si="45"/>
        <v>-</v>
      </c>
      <c r="J91" s="171" t="str">
        <f t="shared" ca="1" si="45"/>
        <v>-</v>
      </c>
      <c r="K91" s="175" t="str">
        <f ca="1">IFERROR((($J91/$E91)^(1/5)-1),"-")</f>
        <v>-</v>
      </c>
      <c r="L91" s="144"/>
    </row>
    <row r="92" spans="1:13" hidden="1">
      <c r="B92" s="170" t="s">
        <v>986</v>
      </c>
      <c r="C92" s="176"/>
      <c r="D92" s="177" t="str">
        <f>IFERROR(D91/C91-1,"-")</f>
        <v>-</v>
      </c>
      <c r="E92" s="177" t="str">
        <f>IFERROR(E91/D91-1,"-")</f>
        <v>-</v>
      </c>
      <c r="F92" s="177" t="str">
        <f>IFERROR(F91/E91-1,"-")</f>
        <v>-</v>
      </c>
      <c r="G92" s="177" t="str">
        <f t="shared" ref="G92" ca="1" si="46">IFERROR(IF(G91&lt;&gt;"",G91/F91-1,"-"),"-")</f>
        <v>-</v>
      </c>
      <c r="H92" s="177" t="str">
        <f t="shared" ref="H92" ca="1" si="47">IFERROR(IF(H91&lt;&gt;"",H91/G91-1,"-"),"-")</f>
        <v>-</v>
      </c>
      <c r="I92" s="177" t="str">
        <f t="shared" ref="I92" ca="1" si="48">IFERROR(IF(I91&lt;&gt;"",I91/H91-1,"-"),"-")</f>
        <v>-</v>
      </c>
      <c r="J92" s="177" t="str">
        <f t="shared" ref="J92" ca="1" si="49">IFERROR(IF(J91&lt;&gt;"",J91/I91-1,"-"),"-")</f>
        <v>-</v>
      </c>
      <c r="K92" s="176"/>
      <c r="L92" s="144"/>
    </row>
    <row r="93" spans="1:13" hidden="1">
      <c r="B93" s="170" t="s">
        <v>979</v>
      </c>
      <c r="C93" s="171" t="str">
        <f>IFERROR(INDEX(STATFOR_Data!X$3:X$41,MATCH($C86,STATFOR_Data!$W$3:$W$41,0))/1000,"-")</f>
        <v>-</v>
      </c>
      <c r="D93" s="171" t="str">
        <f>IFERROR(INDEX(STATFOR_Data!Y$3:Y$41,MATCH($C86,STATFOR_Data!$W$3:$W$41,0))/1000,"-")</f>
        <v>-</v>
      </c>
      <c r="E93" s="171" t="str">
        <f>IFERROR(INDEX(STATFOR_Data!Z$3:Z$41,MATCH($C86,STATFOR_Data!$W$3:$W$41,0))/1000,"-")</f>
        <v>-</v>
      </c>
      <c r="F93" s="171" t="str">
        <f>IFERROR(INDEX(STATFOR_Data!AA$3:AA$41,MATCH($C86,STATFOR_Data!$W$3:$W$41,0))/1000,"-")</f>
        <v>-</v>
      </c>
      <c r="G93" s="171" t="str">
        <f ca="1">IFERROR(INDEX(INDIRECT("Table_STATF_"&amp;MID($C$88,SEARCH("forecast",$C$88)+9,3)&amp;"21_ERT_su["&amp;G$90&amp;"B]"),MATCH($C$86,INDIRECT("Table_STATF_"&amp;MID($C$88,SEARCH("forecast",$C$88)+9,3)&amp;"21_ERT_MVT[ER_CZ]"),0))/1000,"-")</f>
        <v>-</v>
      </c>
      <c r="H93" s="171" t="str">
        <f t="shared" ref="H93:J93" ca="1" si="50">IFERROR(INDEX(INDIRECT("Table_STATF_"&amp;MID($C$88,SEARCH("forecast",$C$88)+9,3)&amp;"21_ERT_su["&amp;H$90&amp;"B]"),MATCH($C$86,INDIRECT("Table_STATF_"&amp;MID($C$88,SEARCH("forecast",$C$88)+9,3)&amp;"21_ERT_MVT[ER_CZ]"),0))/1000,"-")</f>
        <v>-</v>
      </c>
      <c r="I93" s="171" t="str">
        <f t="shared" ca="1" si="50"/>
        <v>-</v>
      </c>
      <c r="J93" s="171" t="str">
        <f t="shared" ca="1" si="50"/>
        <v>-</v>
      </c>
      <c r="K93" s="175" t="str">
        <f ca="1">IFERROR((($J93/$E93)^(1/5)-1),"-")</f>
        <v>-</v>
      </c>
      <c r="L93" s="144"/>
    </row>
    <row r="94" spans="1:13" hidden="1">
      <c r="B94" s="168" t="s">
        <v>987</v>
      </c>
      <c r="C94" s="173"/>
      <c r="D94" s="174" t="str">
        <f>IFERROR(D93/C93-1,"-")</f>
        <v>-</v>
      </c>
      <c r="E94" s="174" t="str">
        <f>IFERROR(E93/D93-1,"-")</f>
        <v>-</v>
      </c>
      <c r="F94" s="174" t="str">
        <f>IFERROR(F93/E93-1,"-")</f>
        <v>-</v>
      </c>
      <c r="G94" s="174" t="str">
        <f t="shared" ref="G94" ca="1" si="51">IFERROR(IF(G93&lt;&gt;"",G93/F93-1,"-"),"-")</f>
        <v>-</v>
      </c>
      <c r="H94" s="174" t="str">
        <f t="shared" ref="H94" ca="1" si="52">IFERROR(IF(H93&lt;&gt;"",H93/G93-1,"-"),"-")</f>
        <v>-</v>
      </c>
      <c r="I94" s="174" t="str">
        <f t="shared" ref="I94" ca="1" si="53">IFERROR(IF(I93&lt;&gt;"",I93/H93-1,"-"),"-")</f>
        <v>-</v>
      </c>
      <c r="J94" s="174" t="str">
        <f t="shared" ref="J94" ca="1" si="54">IFERROR(IF(J93&lt;&gt;"",J93/I93-1,"-"),"-")</f>
        <v>-</v>
      </c>
      <c r="K94" s="172"/>
      <c r="L94" s="144"/>
    </row>
    <row r="95" spans="1:13" ht="9.75" hidden="1" customHeight="1">
      <c r="B95" s="15"/>
      <c r="C95" s="15"/>
      <c r="D95" s="15"/>
      <c r="E95" s="15"/>
      <c r="F95" s="15"/>
      <c r="G95" s="15"/>
      <c r="H95" s="15"/>
      <c r="I95" s="15"/>
      <c r="J95" s="15"/>
      <c r="K95" s="15"/>
      <c r="L95" s="15"/>
      <c r="M95" s="15"/>
    </row>
    <row r="96" spans="1:13" ht="24.75" hidden="1">
      <c r="B96" s="178" t="s">
        <v>278</v>
      </c>
      <c r="C96" s="169" t="s">
        <v>253</v>
      </c>
      <c r="D96" s="169" t="s">
        <v>254</v>
      </c>
      <c r="E96" s="169" t="s">
        <v>1534</v>
      </c>
      <c r="F96" s="169" t="s">
        <v>1535</v>
      </c>
      <c r="G96" s="169">
        <v>2021</v>
      </c>
      <c r="H96" s="169">
        <v>2022</v>
      </c>
      <c r="I96" s="169">
        <v>2023</v>
      </c>
      <c r="J96" s="169">
        <v>2024</v>
      </c>
      <c r="K96" s="169" t="s">
        <v>1411</v>
      </c>
    </row>
    <row r="97" spans="1:13" hidden="1">
      <c r="B97" s="170" t="s">
        <v>255</v>
      </c>
      <c r="C97" s="171" t="str">
        <f>IFERROR(INDEX(STATFOR_Data!E$3:E$41,MATCH($C86,STATFOR_Data!$D$3:$D$41,0))/1000,"-")</f>
        <v>-</v>
      </c>
      <c r="D97" s="171" t="str">
        <f>IFERROR(INDEX(STATFOR_Data!F$3:F$41,MATCH($C86,STATFOR_Data!$D$3:$D$41,0))/1000,"-")</f>
        <v>-</v>
      </c>
      <c r="E97" s="171" t="str">
        <f>IFERROR(INDEX(STATFOR_Data!G$3:G$41,MATCH($C86,STATFOR_Data!$D$3:$D$41,0))/1000,"-")</f>
        <v>-</v>
      </c>
      <c r="F97" s="171" t="str">
        <f>IFERROR(INDEX(STATFOR_Data!H$3:H$41,MATCH($C86,STATFOR_Data!$D$3:$D$41,0))/1000,"-")</f>
        <v>-</v>
      </c>
      <c r="G97" s="179"/>
      <c r="H97" s="179"/>
      <c r="I97" s="179"/>
      <c r="J97" s="179"/>
      <c r="K97" s="175" t="str">
        <f>IFERROR((($J97/$E97)^(1/5)-1),"-")</f>
        <v>-</v>
      </c>
      <c r="L97" s="144"/>
      <c r="M97" s="87"/>
    </row>
    <row r="98" spans="1:13" hidden="1">
      <c r="B98" s="170" t="s">
        <v>986</v>
      </c>
      <c r="C98" s="176"/>
      <c r="D98" s="177" t="str">
        <f>IFERROR(D97/C97-1,"-")</f>
        <v>-</v>
      </c>
      <c r="E98" s="177" t="str">
        <f t="shared" ref="E98:F98" si="55">IFERROR(E97/D97-1,"-")</f>
        <v>-</v>
      </c>
      <c r="F98" s="177" t="str">
        <f t="shared" si="55"/>
        <v>-</v>
      </c>
      <c r="G98" s="180"/>
      <c r="H98" s="180"/>
      <c r="I98" s="180"/>
      <c r="J98" s="180"/>
      <c r="K98" s="176"/>
      <c r="L98" s="144"/>
    </row>
    <row r="99" spans="1:13" hidden="1">
      <c r="B99" s="170" t="s">
        <v>979</v>
      </c>
      <c r="C99" s="171" t="str">
        <f>IFERROR(INDEX(STATFOR_Data!X$3:X$41,MATCH($C86,STATFOR_Data!$W$3:$W$41,0))/1000,"-")</f>
        <v>-</v>
      </c>
      <c r="D99" s="171" t="str">
        <f>IFERROR(INDEX(STATFOR_Data!Y$3:Y$41,MATCH($C86,STATFOR_Data!$W$3:$W$41,0))/1000,"-")</f>
        <v>-</v>
      </c>
      <c r="E99" s="171" t="str">
        <f>IFERROR(INDEX(STATFOR_Data!Z$3:Z$41,MATCH($C86,STATFOR_Data!$W$3:$W$41,0))/1000,"-")</f>
        <v>-</v>
      </c>
      <c r="F99" s="171" t="str">
        <f>IFERROR(INDEX(STATFOR_Data!AA$3:AA$41,MATCH($C86,STATFOR_Data!$W$3:$W$41,0))/1000,"-")</f>
        <v>-</v>
      </c>
      <c r="G99" s="179"/>
      <c r="H99" s="179"/>
      <c r="I99" s="179"/>
      <c r="J99" s="179"/>
      <c r="K99" s="175" t="str">
        <f>IFERROR((($J99/$E99)^(1/5)-1),"-")</f>
        <v>-</v>
      </c>
      <c r="L99" s="144"/>
    </row>
    <row r="100" spans="1:13" hidden="1">
      <c r="B100" s="170" t="s">
        <v>987</v>
      </c>
      <c r="C100" s="176"/>
      <c r="D100" s="177" t="str">
        <f>IFERROR(D99/C99-1,"-")</f>
        <v>-</v>
      </c>
      <c r="E100" s="177" t="str">
        <f t="shared" ref="E100:F100" si="56">IFERROR(E99/D99-1,"-")</f>
        <v>-</v>
      </c>
      <c r="F100" s="177" t="str">
        <f t="shared" si="56"/>
        <v>-</v>
      </c>
      <c r="G100" s="180"/>
      <c r="H100" s="180"/>
      <c r="I100" s="180"/>
      <c r="J100" s="180"/>
      <c r="K100" s="176"/>
      <c r="L100" s="144"/>
    </row>
    <row r="101" spans="1:13" customFormat="1" hidden="1">
      <c r="B101" s="306"/>
      <c r="C101" s="306"/>
      <c r="D101" s="306"/>
      <c r="E101" s="306"/>
      <c r="F101" s="306"/>
      <c r="G101" s="306"/>
      <c r="H101" s="306"/>
      <c r="I101" s="306"/>
      <c r="J101" s="306"/>
      <c r="K101" s="306"/>
    </row>
    <row r="102" spans="1:13" customFormat="1" ht="28.5" hidden="1" customHeight="1">
      <c r="B102" s="664" t="s">
        <v>1184</v>
      </c>
      <c r="C102" s="665"/>
      <c r="D102" s="665"/>
      <c r="E102" s="665"/>
      <c r="F102" s="665"/>
      <c r="G102" s="665"/>
      <c r="H102" s="665"/>
      <c r="I102" s="665"/>
      <c r="J102" s="665"/>
      <c r="K102" s="666"/>
      <c r="L102" s="181"/>
    </row>
    <row r="103" spans="1:13" customFormat="1" ht="27" hidden="1" customHeight="1">
      <c r="B103" s="637"/>
      <c r="C103" s="638"/>
      <c r="D103" s="638"/>
      <c r="E103" s="638"/>
      <c r="F103" s="638"/>
      <c r="G103" s="638"/>
      <c r="H103" s="638"/>
      <c r="I103" s="638"/>
      <c r="J103" s="638"/>
      <c r="K103" s="638"/>
      <c r="L103" s="182"/>
    </row>
    <row r="104" spans="1:13" customFormat="1" ht="28.5" hidden="1" customHeight="1">
      <c r="B104" s="667" t="s">
        <v>281</v>
      </c>
      <c r="C104" s="667"/>
      <c r="D104" s="667"/>
      <c r="E104" s="667"/>
      <c r="F104" s="667"/>
      <c r="G104" s="667"/>
      <c r="H104" s="667"/>
      <c r="I104" s="667"/>
      <c r="J104" s="667"/>
      <c r="K104" s="667"/>
      <c r="L104" s="4"/>
    </row>
    <row r="105" spans="1:13" customFormat="1" hidden="1"/>
    <row r="107" spans="1:13" ht="18" thickBot="1">
      <c r="B107" s="683" t="s">
        <v>279</v>
      </c>
      <c r="C107" s="683"/>
    </row>
    <row r="108" spans="1:13">
      <c r="B108" s="143"/>
      <c r="C108" s="143"/>
      <c r="D108" s="143"/>
      <c r="E108" s="143"/>
      <c r="F108" s="143"/>
      <c r="G108" s="143"/>
      <c r="H108" s="143"/>
      <c r="I108" s="143"/>
      <c r="J108" s="143"/>
      <c r="K108" s="143"/>
    </row>
    <row r="109" spans="1:13" ht="15.75" hidden="1" customHeight="1">
      <c r="B109" s="164" t="s">
        <v>309</v>
      </c>
      <c r="C109" s="681" t="str">
        <f>IF('1.1 The situation'!$C$90="","",'1.1 The situation'!$C$90)</f>
        <v/>
      </c>
      <c r="D109" s="682"/>
      <c r="E109" s="682"/>
      <c r="F109" s="682"/>
      <c r="G109" s="682"/>
      <c r="H109" s="682"/>
      <c r="I109" s="682"/>
      <c r="J109" s="682"/>
      <c r="K109" s="682"/>
      <c r="L109" s="144"/>
    </row>
    <row r="110" spans="1:13" hidden="1">
      <c r="C110" s="165"/>
      <c r="D110" s="166"/>
      <c r="E110" s="166"/>
      <c r="F110" s="166"/>
      <c r="G110" s="166"/>
      <c r="H110" s="166"/>
      <c r="I110" s="166"/>
      <c r="J110" s="166"/>
      <c r="K110" s="166"/>
    </row>
    <row r="111" spans="1:13" ht="15" hidden="1" customHeight="1">
      <c r="A111" s="397">
        <f ca="1">MATCH(C111,OFFSET('Dynamic lists'!$V$5,,,'Dynamic lists'!$W$5),0)-1</f>
        <v>0</v>
      </c>
      <c r="B111" s="15" t="s">
        <v>280</v>
      </c>
      <c r="C111" s="671" t="s">
        <v>412</v>
      </c>
      <c r="D111" s="672"/>
      <c r="E111" s="672"/>
      <c r="F111" s="672"/>
      <c r="G111" s="672"/>
      <c r="H111" s="672"/>
      <c r="I111" s="672"/>
      <c r="J111" s="672"/>
      <c r="K111" s="672"/>
      <c r="L111" s="144"/>
      <c r="M111" s="38"/>
    </row>
    <row r="112" spans="1:13" ht="9.75" hidden="1" customHeight="1">
      <c r="B112" s="15"/>
      <c r="C112" s="160"/>
      <c r="D112" s="160"/>
      <c r="E112" s="160"/>
      <c r="F112" s="160"/>
      <c r="G112" s="160"/>
      <c r="H112" s="160"/>
      <c r="I112" s="160"/>
      <c r="J112" s="160"/>
      <c r="K112" s="160"/>
      <c r="L112" s="15"/>
      <c r="M112" s="15"/>
    </row>
    <row r="113" spans="2:16" ht="24.75" hidden="1">
      <c r="B113" s="167" t="str">
        <f>IF($C111="Select traffic forecast","",$C111)</f>
        <v/>
      </c>
      <c r="C113" s="169" t="s">
        <v>253</v>
      </c>
      <c r="D113" s="169" t="s">
        <v>254</v>
      </c>
      <c r="E113" s="169" t="s">
        <v>1534</v>
      </c>
      <c r="F113" s="169" t="s">
        <v>1535</v>
      </c>
      <c r="G113" s="169">
        <v>2021</v>
      </c>
      <c r="H113" s="169">
        <v>2022</v>
      </c>
      <c r="I113" s="169">
        <v>2023</v>
      </c>
      <c r="J113" s="169">
        <v>2024</v>
      </c>
      <c r="K113" s="169" t="s">
        <v>1411</v>
      </c>
    </row>
    <row r="114" spans="2:16" hidden="1">
      <c r="B114" s="170" t="s">
        <v>255</v>
      </c>
      <c r="C114" s="183" t="str">
        <f>IFERROR(INDEX(STATFOR_Data!AR$3:AR$43,MATCH($C109,STATFOR_Data!$AP$3:$AP$43,0))/1000,"-")</f>
        <v>-</v>
      </c>
      <c r="D114" s="183" t="str">
        <f>IFERROR(INDEX(STATFOR_Data!AS$3:AS$43,MATCH($C109,STATFOR_Data!$AP$3:$AP$43,0))/1000,"-")</f>
        <v>-</v>
      </c>
      <c r="E114" s="183" t="str">
        <f>IFERROR(INDEX(STATFOR_Data!AT$3:AT$43,MATCH($C109,STATFOR_Data!$AP$3:$AP$43,0))/1000,"-")</f>
        <v>-</v>
      </c>
      <c r="F114" s="183" t="str">
        <f>IFERROR(INDEX(STATFOR_Data!AU$3:AU$43,MATCH($C109,STATFOR_Data!$AP$3:$AP$43,0))/1000,"-")</f>
        <v>-</v>
      </c>
      <c r="G114" s="183" t="str">
        <f ca="1">IFERROR(INDEX(INDIRECT("Table_STATF_"&amp;MID($C$111,SEARCH("forecast",$C$111)+9,3)&amp;"21_TRM_MVT["&amp;G$113&amp;"B]"),MATCH($C$109,INDIRECT("Table_STATF_"&amp;MID($C$111,SEARCH("forecast",$C$111)+9,3)&amp;"21_TRM_MVT[TCZ_Name]"),0))/1000,"-")</f>
        <v>-</v>
      </c>
      <c r="H114" s="183" t="str">
        <f t="shared" ref="H114:J114" ca="1" si="57">IFERROR(INDEX(INDIRECT("Table_STATF_"&amp;MID($C$111,SEARCH("forecast",$C$111)+9,3)&amp;"21_TRM_MVT["&amp;H$113&amp;"B]"),MATCH($C$109,INDIRECT("Table_STATF_"&amp;MID($C$111,SEARCH("forecast",$C$111)+9,3)&amp;"21_TRM_MVT[TCZ_Name]"),0))/1000,"-")</f>
        <v>-</v>
      </c>
      <c r="I114" s="183" t="str">
        <f t="shared" ca="1" si="57"/>
        <v>-</v>
      </c>
      <c r="J114" s="183" t="str">
        <f t="shared" ca="1" si="57"/>
        <v>-</v>
      </c>
      <c r="K114" s="175" t="str">
        <f ca="1">IFERROR((($J114/$E114)^(1/5)-1),"-")</f>
        <v>-</v>
      </c>
      <c r="L114" s="144"/>
    </row>
    <row r="115" spans="2:16" hidden="1">
      <c r="B115" s="170" t="s">
        <v>986</v>
      </c>
      <c r="C115" s="176"/>
      <c r="D115" s="177" t="str">
        <f>IFERROR(D114/C114-1,"-")</f>
        <v>-</v>
      </c>
      <c r="E115" s="177" t="str">
        <f t="shared" ref="E115:F115" si="58">IFERROR(E114/D114-1,"-")</f>
        <v>-</v>
      </c>
      <c r="F115" s="177" t="str">
        <f t="shared" si="58"/>
        <v>-</v>
      </c>
      <c r="G115" s="177" t="str">
        <f t="shared" ref="G115" ca="1" si="59">IFERROR(IF(G114&lt;&gt;"",G114/F114-1,"-"),"-")</f>
        <v>-</v>
      </c>
      <c r="H115" s="177" t="str">
        <f t="shared" ref="H115" ca="1" si="60">IFERROR(IF(H114&lt;&gt;"",H114/G114-1,"-"),"-")</f>
        <v>-</v>
      </c>
      <c r="I115" s="177" t="str">
        <f t="shared" ref="I115" ca="1" si="61">IFERROR(IF(I114&lt;&gt;"",I114/H114-1,"-"),"-")</f>
        <v>-</v>
      </c>
      <c r="J115" s="177" t="str">
        <f t="shared" ref="J115" ca="1" si="62">IFERROR(IF(J114&lt;&gt;"",J114/I114-1,"-"),"-")</f>
        <v>-</v>
      </c>
      <c r="K115" s="308"/>
      <c r="L115" s="144"/>
    </row>
    <row r="116" spans="2:16" hidden="1">
      <c r="B116" s="170" t="s">
        <v>977</v>
      </c>
      <c r="C116" s="183" t="str">
        <f>IFERROR(INDEX(STATFOR_Data!BL$3:BL$43,MATCH($C109,STATFOR_Data!$BJ$3:$BJ$43,0))/1000,"-")</f>
        <v>-</v>
      </c>
      <c r="D116" s="183" t="str">
        <f>IFERROR(INDEX(STATFOR_Data!BM$3:BM$43,MATCH($C109,STATFOR_Data!$BJ$3:$BJ$43,0))/1000,"-")</f>
        <v>-</v>
      </c>
      <c r="E116" s="183" t="str">
        <f>IFERROR(INDEX(STATFOR_Data!BN$3:BN$43,MATCH($C109,STATFOR_Data!$BJ$3:$BJ$43,0))/1000,"-")</f>
        <v>-</v>
      </c>
      <c r="F116" s="183" t="str">
        <f>IFERROR(INDEX(STATFOR_Data!BO$3:BO$43,MATCH($C109,STATFOR_Data!$BJ$3:$BJ$43,0))/1000,"-")</f>
        <v>-</v>
      </c>
      <c r="G116" s="183" t="str">
        <f ca="1">IFERROR(INDEX(INDIRECT("Table_STATF_"&amp;MID($C$111,SEARCH("forecast",$C$111)+9,3)&amp;"21_TRM_su["&amp;G$113&amp;"B]"),MATCH($C$109,INDIRECT("Table_STATF_"&amp;MID($C$111,SEARCH("forecast",$C$111)+9,3)&amp;"21_TRM_su[TCZ_Name]"),0))/1000,"-")</f>
        <v>-</v>
      </c>
      <c r="H116" s="183" t="str">
        <f t="shared" ref="H116:J116" ca="1" si="63">IFERROR(INDEX(INDIRECT("Table_STATF_"&amp;MID($C$111,SEARCH("forecast",$C$111)+9,3)&amp;"21_TRM_su["&amp;H$113&amp;"B]"),MATCH($C$109,INDIRECT("Table_STATF_"&amp;MID($C$111,SEARCH("forecast",$C$111)+9,3)&amp;"21_TRM_su[TCZ_Name]"),0))/1000,"-")</f>
        <v>-</v>
      </c>
      <c r="I116" s="183" t="str">
        <f t="shared" ca="1" si="63"/>
        <v>-</v>
      </c>
      <c r="J116" s="183" t="str">
        <f t="shared" ca="1" si="63"/>
        <v>-</v>
      </c>
      <c r="K116" s="175" t="str">
        <f ca="1">IFERROR((($J116/$E116)^(1/5)-1),"-")</f>
        <v>-</v>
      </c>
      <c r="L116" s="144"/>
    </row>
    <row r="117" spans="2:16" hidden="1">
      <c r="B117" s="168" t="s">
        <v>988</v>
      </c>
      <c r="C117" s="173"/>
      <c r="D117" s="174" t="str">
        <f>IFERROR(D116/C116-1,"-")</f>
        <v>-</v>
      </c>
      <c r="E117" s="174" t="str">
        <f t="shared" ref="E117:F117" si="64">IFERROR(E116/D116-1,"-")</f>
        <v>-</v>
      </c>
      <c r="F117" s="174" t="str">
        <f t="shared" si="64"/>
        <v>-</v>
      </c>
      <c r="G117" s="174" t="str">
        <f t="shared" ref="G117" ca="1" si="65">IFERROR(IF(G116&lt;&gt;"",G116/F116-1,"-"),"-")</f>
        <v>-</v>
      </c>
      <c r="H117" s="174" t="str">
        <f t="shared" ref="H117" ca="1" si="66">IFERROR(IF(H116&lt;&gt;"",H116/G116-1,"-"),"-")</f>
        <v>-</v>
      </c>
      <c r="I117" s="174" t="str">
        <f t="shared" ref="I117" ca="1" si="67">IFERROR(IF(I116&lt;&gt;"",I116/H116-1,"-"),"-")</f>
        <v>-</v>
      </c>
      <c r="J117" s="174" t="str">
        <f t="shared" ref="J117" ca="1" si="68">IFERROR(IF(J116&lt;&gt;"",J116/I116-1,"-"),"-")</f>
        <v>-</v>
      </c>
      <c r="K117" s="311"/>
      <c r="L117" s="144"/>
    </row>
    <row r="118" spans="2:16" ht="9.75" hidden="1" customHeight="1">
      <c r="B118" s="15"/>
      <c r="C118" s="15"/>
      <c r="D118" s="15"/>
      <c r="E118" s="15"/>
      <c r="F118" s="15"/>
      <c r="G118" s="15"/>
      <c r="H118" s="15"/>
      <c r="I118" s="15"/>
      <c r="J118" s="15"/>
      <c r="K118" s="15"/>
      <c r="L118" s="15"/>
      <c r="M118" s="15"/>
    </row>
    <row r="119" spans="2:16" ht="24.75" hidden="1">
      <c r="B119" s="178" t="s">
        <v>278</v>
      </c>
      <c r="C119" s="169" t="s">
        <v>253</v>
      </c>
      <c r="D119" s="169" t="s">
        <v>254</v>
      </c>
      <c r="E119" s="169" t="s">
        <v>1534</v>
      </c>
      <c r="F119" s="169" t="s">
        <v>1535</v>
      </c>
      <c r="G119" s="169">
        <v>2021</v>
      </c>
      <c r="H119" s="169">
        <v>2022</v>
      </c>
      <c r="I119" s="169">
        <v>2023</v>
      </c>
      <c r="J119" s="169">
        <v>2024</v>
      </c>
      <c r="K119" s="169" t="s">
        <v>1411</v>
      </c>
    </row>
    <row r="120" spans="2:16" hidden="1">
      <c r="B120" s="170" t="s">
        <v>255</v>
      </c>
      <c r="C120" s="183" t="str">
        <f>IFERROR(INDEX(STATFOR_Data!AR$3:AR$43,MATCH($C109,STATFOR_Data!$AP$3:$AP$43,0))/1000,"-")</f>
        <v>-</v>
      </c>
      <c r="D120" s="183" t="str">
        <f>IFERROR(INDEX(STATFOR_Data!AS$3:AS$43,MATCH($C109,STATFOR_Data!$AP$3:$AP$43,0))/1000,"-")</f>
        <v>-</v>
      </c>
      <c r="E120" s="183" t="str">
        <f>IFERROR(INDEX(STATFOR_Data!AT$3:AT$43,MATCH($C109,STATFOR_Data!$AP$3:$AP$43,0))/1000,"-")</f>
        <v>-</v>
      </c>
      <c r="F120" s="183" t="str">
        <f>IFERROR(INDEX(STATFOR_Data!AU$3:AU$43,MATCH($C109,STATFOR_Data!$AP$3:$AP$43,0))/1000,"-")</f>
        <v>-</v>
      </c>
      <c r="G120" s="179"/>
      <c r="H120" s="179"/>
      <c r="I120" s="179"/>
      <c r="J120" s="179"/>
      <c r="K120" s="175" t="str">
        <f>IFERROR((($J120/$E120)^(1/5)-1),"-")</f>
        <v>-</v>
      </c>
      <c r="L120" s="144"/>
      <c r="M120" s="87"/>
    </row>
    <row r="121" spans="2:16" hidden="1">
      <c r="B121" s="170" t="s">
        <v>986</v>
      </c>
      <c r="C121" s="176"/>
      <c r="D121" s="177" t="str">
        <f>IFERROR(D120/C120-1,"-")</f>
        <v>-</v>
      </c>
      <c r="E121" s="177" t="str">
        <f t="shared" ref="E121:F121" si="69">IFERROR(E120/D120-1,"-")</f>
        <v>-</v>
      </c>
      <c r="F121" s="177" t="str">
        <f t="shared" si="69"/>
        <v>-</v>
      </c>
      <c r="G121" s="180"/>
      <c r="H121" s="180"/>
      <c r="I121" s="180"/>
      <c r="J121" s="180"/>
      <c r="K121" s="176"/>
      <c r="L121" s="144"/>
    </row>
    <row r="122" spans="2:16" hidden="1">
      <c r="B122" s="170" t="s">
        <v>977</v>
      </c>
      <c r="C122" s="183" t="str">
        <f>IFERROR(INDEX(STATFOR_Data!BL$3:BL$43,MATCH($C109,STATFOR_Data!$BJ$3:$BJ$43,0))/1000,"-")</f>
        <v>-</v>
      </c>
      <c r="D122" s="183" t="str">
        <f>IFERROR(INDEX(STATFOR_Data!BM$3:BM$43,MATCH($C109,STATFOR_Data!$BJ$3:$BJ$43,0))/1000,"-")</f>
        <v>-</v>
      </c>
      <c r="E122" s="183" t="str">
        <f>IFERROR(INDEX(STATFOR_Data!BN$3:BN$43,MATCH($C109,STATFOR_Data!$BJ$3:$BJ$43,0))/1000,"-")</f>
        <v>-</v>
      </c>
      <c r="F122" s="183" t="str">
        <f>IFERROR(INDEX(STATFOR_Data!BO$3:BO$43,MATCH($C109,STATFOR_Data!$BJ$3:$BJ$43,0))/1000,"-")</f>
        <v>-</v>
      </c>
      <c r="G122" s="184"/>
      <c r="H122" s="184"/>
      <c r="I122" s="184"/>
      <c r="J122" s="184"/>
      <c r="K122" s="175" t="str">
        <f>IFERROR((($J122/$E122)^(1/5)-1),"-")</f>
        <v>-</v>
      </c>
      <c r="L122" s="144"/>
    </row>
    <row r="123" spans="2:16" hidden="1">
      <c r="B123" s="170" t="s">
        <v>988</v>
      </c>
      <c r="C123" s="173"/>
      <c r="D123" s="174" t="str">
        <f>IFERROR(D122/C122-1,"-")</f>
        <v>-</v>
      </c>
      <c r="E123" s="174" t="str">
        <f t="shared" ref="E123:F123" si="70">IFERROR(E122/D122-1,"-")</f>
        <v>-</v>
      </c>
      <c r="F123" s="174" t="str">
        <f t="shared" si="70"/>
        <v>-</v>
      </c>
      <c r="G123" s="180"/>
      <c r="H123" s="180"/>
      <c r="I123" s="180"/>
      <c r="J123" s="180"/>
      <c r="K123" s="176"/>
      <c r="L123" s="144"/>
    </row>
    <row r="124" spans="2:16" hidden="1">
      <c r="B124" s="132"/>
      <c r="C124" s="132"/>
      <c r="D124" s="132"/>
      <c r="E124" s="132"/>
      <c r="F124" s="132"/>
      <c r="G124" s="132"/>
      <c r="H124" s="132"/>
      <c r="I124" s="132"/>
      <c r="J124" s="132"/>
    </row>
    <row r="125" spans="2:16" customFormat="1" ht="28.5" hidden="1" customHeight="1">
      <c r="B125" s="673" t="s">
        <v>1184</v>
      </c>
      <c r="C125" s="674"/>
      <c r="D125" s="674"/>
      <c r="E125" s="674"/>
      <c r="F125" s="674"/>
      <c r="G125" s="674"/>
      <c r="H125" s="674"/>
      <c r="I125" s="674"/>
      <c r="J125" s="674"/>
      <c r="K125" s="674"/>
      <c r="L125" s="181"/>
    </row>
    <row r="126" spans="2:16" customFormat="1" ht="27" hidden="1" customHeight="1">
      <c r="B126" s="637"/>
      <c r="C126" s="638"/>
      <c r="D126" s="638"/>
      <c r="E126" s="638"/>
      <c r="F126" s="638"/>
      <c r="G126" s="638"/>
      <c r="H126" s="638"/>
      <c r="I126" s="638"/>
      <c r="J126" s="638"/>
      <c r="K126" s="638"/>
      <c r="L126" s="182"/>
    </row>
    <row r="127" spans="2:16" ht="31.5" hidden="1" customHeight="1">
      <c r="B127" s="675" t="s">
        <v>281</v>
      </c>
      <c r="C127" s="675"/>
      <c r="D127" s="675"/>
      <c r="E127" s="675"/>
      <c r="F127" s="675"/>
      <c r="G127" s="675"/>
      <c r="H127" s="675"/>
      <c r="I127" s="675"/>
      <c r="J127" s="675"/>
      <c r="K127" s="675"/>
      <c r="L127"/>
      <c r="M127"/>
      <c r="N127"/>
      <c r="O127"/>
      <c r="P127"/>
    </row>
    <row r="128" spans="2:16" hidden="1"/>
    <row r="129" spans="1:13" ht="15.75" hidden="1" customHeight="1">
      <c r="B129" s="164" t="s">
        <v>310</v>
      </c>
      <c r="C129" s="681" t="str">
        <f>IF('1.1 The situation'!$C$91="","",'1.1 The situation'!$C$91)</f>
        <v/>
      </c>
      <c r="D129" s="682"/>
      <c r="E129" s="682"/>
      <c r="F129" s="682"/>
      <c r="G129" s="682"/>
      <c r="H129" s="682"/>
      <c r="I129" s="682"/>
      <c r="J129" s="682"/>
      <c r="K129" s="682"/>
      <c r="L129" s="144"/>
    </row>
    <row r="130" spans="1:13" hidden="1">
      <c r="C130" s="165"/>
      <c r="D130" s="166"/>
      <c r="E130" s="166"/>
      <c r="F130" s="166"/>
      <c r="G130" s="166"/>
      <c r="H130" s="166"/>
      <c r="I130" s="166"/>
      <c r="J130" s="166"/>
      <c r="K130" s="166"/>
    </row>
    <row r="131" spans="1:13" ht="15" hidden="1" customHeight="1">
      <c r="A131" s="397">
        <f ca="1">MATCH(C131,OFFSET('Dynamic lists'!$V$5,,,'Dynamic lists'!$W$5),0)-1</f>
        <v>0</v>
      </c>
      <c r="B131" s="15" t="s">
        <v>280</v>
      </c>
      <c r="C131" s="671" t="s">
        <v>412</v>
      </c>
      <c r="D131" s="672"/>
      <c r="E131" s="672"/>
      <c r="F131" s="672"/>
      <c r="G131" s="672"/>
      <c r="H131" s="672"/>
      <c r="I131" s="672"/>
      <c r="J131" s="672"/>
      <c r="K131" s="672"/>
      <c r="L131" s="144"/>
      <c r="M131" s="38"/>
    </row>
    <row r="132" spans="1:13" ht="9.75" hidden="1" customHeight="1">
      <c r="B132" s="15"/>
      <c r="C132" s="160"/>
      <c r="D132" s="160"/>
      <c r="E132" s="160"/>
      <c r="F132" s="160"/>
      <c r="G132" s="160"/>
      <c r="H132" s="160"/>
      <c r="I132" s="160"/>
      <c r="J132" s="160"/>
      <c r="K132" s="160"/>
      <c r="L132" s="15"/>
      <c r="M132" s="15"/>
    </row>
    <row r="133" spans="1:13" ht="24.75" hidden="1">
      <c r="B133" s="167" t="str">
        <f>IF($C131="Select traffic forecast","",$C131)</f>
        <v/>
      </c>
      <c r="C133" s="309" t="s">
        <v>253</v>
      </c>
      <c r="D133" s="169" t="s">
        <v>254</v>
      </c>
      <c r="E133" s="169" t="s">
        <v>1534</v>
      </c>
      <c r="F133" s="169" t="s">
        <v>1535</v>
      </c>
      <c r="G133" s="169">
        <v>2021</v>
      </c>
      <c r="H133" s="169">
        <v>2022</v>
      </c>
      <c r="I133" s="169">
        <v>2023</v>
      </c>
      <c r="J133" s="169">
        <v>2024</v>
      </c>
      <c r="K133" s="169" t="s">
        <v>1411</v>
      </c>
    </row>
    <row r="134" spans="1:13" hidden="1">
      <c r="B134" s="170" t="s">
        <v>255</v>
      </c>
      <c r="C134" s="183" t="str">
        <f>IFERROR(INDEX(STATFOR_Data!AR$3:AR$43,MATCH($C129,STATFOR_Data!$AP$3:$AP$43,0))/1000,"-")</f>
        <v>-</v>
      </c>
      <c r="D134" s="183" t="str">
        <f>IFERROR(INDEX(STATFOR_Data!AS$3:AS$43,MATCH($C129,STATFOR_Data!$AP$3:$AP$43,0))/1000,"-")</f>
        <v>-</v>
      </c>
      <c r="E134" s="183" t="str">
        <f>IFERROR(INDEX(STATFOR_Data!AT$3:AT$43,MATCH($C129,STATFOR_Data!$AP$3:$AP$43,0))/1000,"-")</f>
        <v>-</v>
      </c>
      <c r="F134" s="183" t="str">
        <f>IFERROR(INDEX(STATFOR_Data!AU$3:AU$43,MATCH($C129,STATFOR_Data!$AP$3:$AP$43,0))/1000,"-")</f>
        <v>-</v>
      </c>
      <c r="G134" s="183" t="str">
        <f ca="1">IFERROR(INDEX(INDIRECT("Table_STATF_"&amp;MID($C$131,SEARCH("forecast",$C$131)+9,3)&amp;"21_TRM_MVT["&amp;G$133&amp;"B]"),MATCH($C$129,INDIRECT("Table_STATF_"&amp;MID($C$131,SEARCH("forecast",$C$131)+9,3)&amp;"21_TRM_MVT[TCZ_Name]"),0))/1000,"-")</f>
        <v>-</v>
      </c>
      <c r="H134" s="183" t="str">
        <f t="shared" ref="H134:J134" ca="1" si="71">IFERROR(INDEX(INDIRECT("Table_STATF_"&amp;MID($C$131,SEARCH("forecast",$C$131)+9,3)&amp;"21_TRM_MVT["&amp;H$133&amp;"B]"),MATCH($C$129,INDIRECT("Table_STATF_"&amp;MID($C$131,SEARCH("forecast",$C$131)+9,3)&amp;"21_TRM_MVT[TCZ_Name]"),0))/1000,"-")</f>
        <v>-</v>
      </c>
      <c r="I134" s="183" t="str">
        <f t="shared" ca="1" si="71"/>
        <v>-</v>
      </c>
      <c r="J134" s="183" t="str">
        <f t="shared" ca="1" si="71"/>
        <v>-</v>
      </c>
      <c r="K134" s="175" t="str">
        <f ca="1">IFERROR((($J134/$E134)^(1/5)-1),"-")</f>
        <v>-</v>
      </c>
      <c r="L134" s="144"/>
    </row>
    <row r="135" spans="1:13" hidden="1">
      <c r="B135" s="170" t="s">
        <v>986</v>
      </c>
      <c r="C135" s="176"/>
      <c r="D135" s="177" t="str">
        <f>IFERROR(D134/C134-1,"-")</f>
        <v>-</v>
      </c>
      <c r="E135" s="177" t="str">
        <f t="shared" ref="E135:F135" si="72">IFERROR(E134/D134-1,"-")</f>
        <v>-</v>
      </c>
      <c r="F135" s="177" t="str">
        <f t="shared" si="72"/>
        <v>-</v>
      </c>
      <c r="G135" s="177" t="str">
        <f t="shared" ref="G135" ca="1" si="73">IFERROR(IF(G134&lt;&gt;"",G134/F134-1,"-"),"-")</f>
        <v>-</v>
      </c>
      <c r="H135" s="177" t="str">
        <f t="shared" ref="H135" ca="1" si="74">IFERROR(IF(H134&lt;&gt;"",H134/G134-1,"-"),"-")</f>
        <v>-</v>
      </c>
      <c r="I135" s="177" t="str">
        <f t="shared" ref="I135" ca="1" si="75">IFERROR(IF(I134&lt;&gt;"",I134/H134-1,"-"),"-")</f>
        <v>-</v>
      </c>
      <c r="J135" s="177" t="str">
        <f t="shared" ref="J135" ca="1" si="76">IFERROR(IF(J134&lt;&gt;"",J134/I134-1,"-"),"-")</f>
        <v>-</v>
      </c>
      <c r="K135" s="308"/>
      <c r="L135" s="144"/>
    </row>
    <row r="136" spans="1:13" hidden="1">
      <c r="B136" s="170" t="s">
        <v>977</v>
      </c>
      <c r="C136" s="183" t="str">
        <f>IFERROR(INDEX(STATFOR_Data!BL$3:BL$43,MATCH($C129,STATFOR_Data!$BJ$3:$BJ$43,0))/1000,"-")</f>
        <v>-</v>
      </c>
      <c r="D136" s="183" t="str">
        <f>IFERROR(INDEX(STATFOR_Data!BM$3:BM$43,MATCH($C129,STATFOR_Data!$BJ$3:$BJ$43,0))/1000,"-")</f>
        <v>-</v>
      </c>
      <c r="E136" s="183" t="str">
        <f>IFERROR(INDEX(STATFOR_Data!BN$3:BN$43,MATCH($C129,STATFOR_Data!$BJ$3:$BJ$43,0))/1000,"-")</f>
        <v>-</v>
      </c>
      <c r="F136" s="183" t="str">
        <f>IFERROR(INDEX(STATFOR_Data!BO$3:BO$43,MATCH($C129,STATFOR_Data!$BJ$3:$BJ$43,0))/1000,"-")</f>
        <v>-</v>
      </c>
      <c r="G136" s="183" t="str">
        <f ca="1">IFERROR(INDEX(INDIRECT("Table_STATF_"&amp;MID($C$131,SEARCH("forecast",$C$131)+9,3)&amp;"21_TRM_su["&amp;G$133&amp;"B]"),MATCH($C$129,INDIRECT("Table_STATF_"&amp;MID($C$131,SEARCH("forecast",$C$131)+9,3)&amp;"21_TRM_su[TCZ_Name]"),0))/1000,"-")</f>
        <v>-</v>
      </c>
      <c r="H136" s="183" t="str">
        <f t="shared" ref="H136:J136" ca="1" si="77">IFERROR(INDEX(INDIRECT("Table_STATF_"&amp;MID($C$131,SEARCH("forecast",$C$131)+9,3)&amp;"21_TRM_su["&amp;H$133&amp;"B]"),MATCH($C$129,INDIRECT("Table_STATF_"&amp;MID($C$131,SEARCH("forecast",$C$131)+9,3)&amp;"21_TRM_su[TCZ_Name]"),0))/1000,"-")</f>
        <v>-</v>
      </c>
      <c r="I136" s="183" t="str">
        <f t="shared" ca="1" si="77"/>
        <v>-</v>
      </c>
      <c r="J136" s="183" t="str">
        <f t="shared" ca="1" si="77"/>
        <v>-</v>
      </c>
      <c r="K136" s="175" t="str">
        <f ca="1">IFERROR((($J136/$E136)^(1/5)-1),"-")</f>
        <v>-</v>
      </c>
      <c r="L136" s="144"/>
    </row>
    <row r="137" spans="1:13" hidden="1">
      <c r="B137" s="168" t="s">
        <v>988</v>
      </c>
      <c r="C137" s="173"/>
      <c r="D137" s="174" t="str">
        <f>IFERROR(D136/C136-1,"-")</f>
        <v>-</v>
      </c>
      <c r="E137" s="174" t="str">
        <f t="shared" ref="E137:F137" si="78">IFERROR(E136/D136-1,"-")</f>
        <v>-</v>
      </c>
      <c r="F137" s="174" t="str">
        <f t="shared" si="78"/>
        <v>-</v>
      </c>
      <c r="G137" s="174" t="str">
        <f t="shared" ref="G137" ca="1" si="79">IFERROR(IF(G136&lt;&gt;"",G136/F136-1,"-"),"-")</f>
        <v>-</v>
      </c>
      <c r="H137" s="174" t="str">
        <f t="shared" ref="H137" ca="1" si="80">IFERROR(IF(H136&lt;&gt;"",H136/G136-1,"-"),"-")</f>
        <v>-</v>
      </c>
      <c r="I137" s="174" t="str">
        <f t="shared" ref="I137" ca="1" si="81">IFERROR(IF(I136&lt;&gt;"",I136/H136-1,"-"),"-")</f>
        <v>-</v>
      </c>
      <c r="J137" s="174" t="str">
        <f t="shared" ref="J137" ca="1" si="82">IFERROR(IF(J136&lt;&gt;"",J136/I136-1,"-"),"-")</f>
        <v>-</v>
      </c>
      <c r="K137" s="311"/>
      <c r="L137" s="144"/>
    </row>
    <row r="138" spans="1:13" ht="9.75" hidden="1" customHeight="1">
      <c r="B138" s="15"/>
      <c r="C138" s="15"/>
      <c r="D138" s="15"/>
      <c r="E138" s="15"/>
      <c r="F138" s="15"/>
      <c r="G138" s="15"/>
      <c r="H138" s="15"/>
      <c r="I138" s="15"/>
      <c r="J138" s="15"/>
      <c r="K138" s="15"/>
      <c r="L138" s="15"/>
      <c r="M138" s="15"/>
    </row>
    <row r="139" spans="1:13" ht="24.75" hidden="1">
      <c r="B139" s="178" t="s">
        <v>278</v>
      </c>
      <c r="C139" s="169" t="s">
        <v>253</v>
      </c>
      <c r="D139" s="169" t="s">
        <v>254</v>
      </c>
      <c r="E139" s="169" t="s">
        <v>1534</v>
      </c>
      <c r="F139" s="169" t="s">
        <v>1535</v>
      </c>
      <c r="G139" s="169">
        <v>2021</v>
      </c>
      <c r="H139" s="169">
        <v>2022</v>
      </c>
      <c r="I139" s="169">
        <v>2023</v>
      </c>
      <c r="J139" s="169">
        <v>2024</v>
      </c>
      <c r="K139" s="169" t="s">
        <v>1411</v>
      </c>
    </row>
    <row r="140" spans="1:13" hidden="1">
      <c r="B140" s="170" t="s">
        <v>255</v>
      </c>
      <c r="C140" s="183" t="str">
        <f>IFERROR(INDEX(STATFOR_Data!AR$3:AR$43,MATCH($C129,STATFOR_Data!$AP$3:$AP$43,0))/1000,"-")</f>
        <v>-</v>
      </c>
      <c r="D140" s="183" t="str">
        <f>IFERROR(INDEX(STATFOR_Data!AS$3:AS$43,MATCH($C129,STATFOR_Data!$AP$3:$AP$43,0))/1000,"-")</f>
        <v>-</v>
      </c>
      <c r="E140" s="183" t="str">
        <f>IFERROR(INDEX(STATFOR_Data!AT$3:AT$43,MATCH($C129,STATFOR_Data!$AP$3:$AP$43,0))/1000,"-")</f>
        <v>-</v>
      </c>
      <c r="F140" s="183" t="str">
        <f>IFERROR(INDEX(STATFOR_Data!AU$3:AU$43,MATCH($C129,STATFOR_Data!$AP$3:$AP$43,0))/1000,"-")</f>
        <v>-</v>
      </c>
      <c r="G140" s="179"/>
      <c r="H140" s="179"/>
      <c r="I140" s="179"/>
      <c r="J140" s="179"/>
      <c r="K140" s="175" t="str">
        <f>IFERROR((($J140/$E140)^(1/5)-1),"-")</f>
        <v>-</v>
      </c>
      <c r="L140" s="144"/>
      <c r="M140" s="87"/>
    </row>
    <row r="141" spans="1:13" hidden="1">
      <c r="B141" s="170" t="s">
        <v>986</v>
      </c>
      <c r="C141" s="176"/>
      <c r="D141" s="177" t="str">
        <f>IFERROR(D140/C140-1,"-")</f>
        <v>-</v>
      </c>
      <c r="E141" s="177" t="str">
        <f t="shared" ref="E141:F141" si="83">IFERROR(E140/D140-1,"-")</f>
        <v>-</v>
      </c>
      <c r="F141" s="177" t="str">
        <f t="shared" si="83"/>
        <v>-</v>
      </c>
      <c r="G141" s="180"/>
      <c r="H141" s="180"/>
      <c r="I141" s="180"/>
      <c r="J141" s="180"/>
      <c r="K141" s="176"/>
      <c r="L141" s="144"/>
    </row>
    <row r="142" spans="1:13" hidden="1">
      <c r="B142" s="170" t="s">
        <v>977</v>
      </c>
      <c r="C142" s="183" t="str">
        <f>IFERROR(INDEX(STATFOR_Data!BL$3:BL$43,MATCH($C129,STATFOR_Data!$BJ$3:$BJ$43,0))/1000,"-")</f>
        <v>-</v>
      </c>
      <c r="D142" s="183" t="str">
        <f>IFERROR(INDEX(STATFOR_Data!BM$3:BM$43,MATCH($C129,STATFOR_Data!$BJ$3:$BJ$43,0))/1000,"-")</f>
        <v>-</v>
      </c>
      <c r="E142" s="183" t="str">
        <f>IFERROR(INDEX(STATFOR_Data!BN$3:BN$43,MATCH($C129,STATFOR_Data!$BJ$3:$BJ$43,0))/1000,"-")</f>
        <v>-</v>
      </c>
      <c r="F142" s="183" t="str">
        <f>IFERROR(INDEX(STATFOR_Data!BO$3:BO$43,MATCH($C129,STATFOR_Data!$BJ$3:$BJ$43,0))/1000,"-")</f>
        <v>-</v>
      </c>
      <c r="G142" s="184"/>
      <c r="H142" s="184"/>
      <c r="I142" s="184"/>
      <c r="J142" s="184"/>
      <c r="K142" s="175" t="str">
        <f>IFERROR((($J142/$E142)^(1/5)-1),"-")</f>
        <v>-</v>
      </c>
      <c r="L142" s="144"/>
    </row>
    <row r="143" spans="1:13" hidden="1">
      <c r="B143" s="170" t="s">
        <v>988</v>
      </c>
      <c r="C143" s="173"/>
      <c r="D143" s="174" t="str">
        <f>IFERROR(D142/C142-1,"-")</f>
        <v>-</v>
      </c>
      <c r="E143" s="174" t="str">
        <f t="shared" ref="E143:F143" si="84">IFERROR(E142/D142-1,"-")</f>
        <v>-</v>
      </c>
      <c r="F143" s="174" t="str">
        <f t="shared" si="84"/>
        <v>-</v>
      </c>
      <c r="G143" s="180"/>
      <c r="H143" s="180"/>
      <c r="I143" s="180"/>
      <c r="J143" s="180"/>
      <c r="K143" s="176"/>
      <c r="L143" s="144"/>
    </row>
    <row r="144" spans="1:13" customFormat="1" hidden="1">
      <c r="B144" s="305"/>
      <c r="C144" s="306"/>
      <c r="D144" s="306"/>
      <c r="E144" s="306"/>
      <c r="F144" s="306"/>
      <c r="G144" s="306"/>
      <c r="H144" s="306"/>
      <c r="I144" s="306"/>
      <c r="J144" s="306"/>
      <c r="K144" s="306"/>
    </row>
    <row r="145" spans="1:16" customFormat="1" ht="28.5" hidden="1" customHeight="1">
      <c r="B145" s="664" t="s">
        <v>1184</v>
      </c>
      <c r="C145" s="665"/>
      <c r="D145" s="665"/>
      <c r="E145" s="665"/>
      <c r="F145" s="665"/>
      <c r="G145" s="665"/>
      <c r="H145" s="665"/>
      <c r="I145" s="665"/>
      <c r="J145" s="665"/>
      <c r="K145" s="666"/>
      <c r="L145" s="181"/>
    </row>
    <row r="146" spans="1:16" customFormat="1" ht="27" hidden="1" customHeight="1">
      <c r="B146" s="637"/>
      <c r="C146" s="638"/>
      <c r="D146" s="638"/>
      <c r="E146" s="638"/>
      <c r="F146" s="638"/>
      <c r="G146" s="638"/>
      <c r="H146" s="638"/>
      <c r="I146" s="638"/>
      <c r="J146" s="638"/>
      <c r="K146" s="638"/>
      <c r="L146" s="182"/>
    </row>
    <row r="147" spans="1:16" ht="31.5" hidden="1" customHeight="1">
      <c r="B147" s="667" t="s">
        <v>281</v>
      </c>
      <c r="C147" s="667"/>
      <c r="D147" s="667"/>
      <c r="E147" s="667"/>
      <c r="F147" s="667"/>
      <c r="G147" s="667"/>
      <c r="H147" s="667"/>
      <c r="I147" s="667"/>
      <c r="J147" s="667"/>
      <c r="K147" s="667"/>
      <c r="L147"/>
      <c r="M147"/>
      <c r="N147"/>
      <c r="O147"/>
      <c r="P147"/>
    </row>
    <row r="148" spans="1:16" customFormat="1" hidden="1"/>
    <row r="149" spans="1:16" ht="15.75" hidden="1" customHeight="1">
      <c r="B149" s="164" t="s">
        <v>311</v>
      </c>
      <c r="C149" s="668" t="str">
        <f>IF('1.1 The situation'!$C$92="","",'1.1 The situation'!$C$92)</f>
        <v/>
      </c>
      <c r="D149" s="669"/>
      <c r="E149" s="669"/>
      <c r="F149" s="669"/>
      <c r="G149" s="669"/>
      <c r="H149" s="669"/>
      <c r="I149" s="669"/>
      <c r="J149" s="669"/>
      <c r="K149" s="670"/>
      <c r="L149" s="144"/>
    </row>
    <row r="150" spans="1:16" hidden="1">
      <c r="C150" s="165"/>
      <c r="D150" s="166"/>
      <c r="E150" s="166"/>
      <c r="F150" s="166"/>
      <c r="G150" s="166"/>
      <c r="H150" s="166"/>
      <c r="I150" s="166"/>
      <c r="J150" s="166"/>
      <c r="K150" s="166"/>
    </row>
    <row r="151" spans="1:16" ht="15" hidden="1" customHeight="1">
      <c r="A151" s="397">
        <f ca="1">MATCH(C151,OFFSET('Dynamic lists'!$V$5,,,'Dynamic lists'!$W$5),0)-1</f>
        <v>0</v>
      </c>
      <c r="B151" s="15" t="s">
        <v>280</v>
      </c>
      <c r="C151" s="671" t="s">
        <v>412</v>
      </c>
      <c r="D151" s="672"/>
      <c r="E151" s="672"/>
      <c r="F151" s="672"/>
      <c r="G151" s="672"/>
      <c r="H151" s="672"/>
      <c r="I151" s="672"/>
      <c r="J151" s="672"/>
      <c r="K151" s="672"/>
      <c r="L151" s="144"/>
      <c r="M151" s="38"/>
    </row>
    <row r="152" spans="1:16" ht="9.75" hidden="1" customHeight="1">
      <c r="B152" s="15"/>
      <c r="C152" s="160"/>
      <c r="D152" s="160"/>
      <c r="E152" s="160"/>
      <c r="F152" s="160"/>
      <c r="G152" s="160"/>
      <c r="H152" s="160"/>
      <c r="I152" s="160"/>
      <c r="J152" s="160"/>
      <c r="K152" s="160"/>
      <c r="L152" s="15"/>
      <c r="M152" s="15"/>
    </row>
    <row r="153" spans="1:16" ht="24.75" hidden="1">
      <c r="B153" s="167" t="str">
        <f>IF($C151="Select traffic forecast","",$C151)</f>
        <v/>
      </c>
      <c r="C153" s="169" t="s">
        <v>253</v>
      </c>
      <c r="D153" s="169" t="s">
        <v>254</v>
      </c>
      <c r="E153" s="169" t="s">
        <v>1534</v>
      </c>
      <c r="F153" s="169" t="s">
        <v>1535</v>
      </c>
      <c r="G153" s="169">
        <v>2021</v>
      </c>
      <c r="H153" s="169">
        <v>2022</v>
      </c>
      <c r="I153" s="169">
        <v>2023</v>
      </c>
      <c r="J153" s="169">
        <v>2024</v>
      </c>
      <c r="K153" s="169" t="s">
        <v>1411</v>
      </c>
    </row>
    <row r="154" spans="1:16" hidden="1">
      <c r="B154" s="170" t="s">
        <v>255</v>
      </c>
      <c r="C154" s="183" t="str">
        <f>IFERROR(INDEX(STATFOR_Data!AR$3:AR$43,MATCH($C149,STATFOR_Data!$AP$3:$AP$43,0))/1000,"-")</f>
        <v>-</v>
      </c>
      <c r="D154" s="183" t="str">
        <f>IFERROR(INDEX(STATFOR_Data!AS$3:AS$43,MATCH($C149,STATFOR_Data!$AP$3:$AP$43,0))/1000,"-")</f>
        <v>-</v>
      </c>
      <c r="E154" s="183" t="str">
        <f>IFERROR(INDEX(STATFOR_Data!AT$3:AT$43,MATCH($C149,STATFOR_Data!$AP$3:$AP$43,0))/1000,"-")</f>
        <v>-</v>
      </c>
      <c r="F154" s="183" t="str">
        <f>IFERROR(INDEX(STATFOR_Data!AU$3:AU$43,MATCH($C149,STATFOR_Data!$AP$3:$AP$43,0))/1000,"-")</f>
        <v>-</v>
      </c>
      <c r="G154" s="183" t="str">
        <f ca="1">IFERROR(INDEX(INDIRECT("Table_STATF_"&amp;MID($C$151,SEARCH("forecast",$C$151)+9,3)&amp;"21_TRM_MVT["&amp;G$153&amp;"B]"),MATCH($C$149,INDIRECT("Table_STATF_"&amp;MID($C$151,SEARCH("forecast",$C$151)+9,3)&amp;"21_TRM_MVT[TCZ_Name]"),0))/1000,"-")</f>
        <v>-</v>
      </c>
      <c r="H154" s="183" t="str">
        <f t="shared" ref="H154:J154" ca="1" si="85">IFERROR(INDEX(INDIRECT("Table_STATF_"&amp;MID($C$151,SEARCH("forecast",$C$151)+9,3)&amp;"21_TRM_MVT["&amp;H$153&amp;"B]"),MATCH($C$149,INDIRECT("Table_STATF_"&amp;MID($C$151,SEARCH("forecast",$C$151)+9,3)&amp;"21_TRM_MVT[TCZ_Name]"),0))/1000,"-")</f>
        <v>-</v>
      </c>
      <c r="I154" s="183" t="str">
        <f t="shared" ca="1" si="85"/>
        <v>-</v>
      </c>
      <c r="J154" s="183" t="str">
        <f t="shared" ca="1" si="85"/>
        <v>-</v>
      </c>
      <c r="K154" s="175" t="str">
        <f ca="1">IFERROR((($J154/$E154)^(1/5)-1),"-")</f>
        <v>-</v>
      </c>
      <c r="L154" s="144"/>
    </row>
    <row r="155" spans="1:16" hidden="1">
      <c r="B155" s="170" t="s">
        <v>986</v>
      </c>
      <c r="C155" s="176"/>
      <c r="D155" s="177" t="str">
        <f>IFERROR(D154/C154-1,"-")</f>
        <v>-</v>
      </c>
      <c r="E155" s="177" t="str">
        <f t="shared" ref="E155:F155" si="86">IFERROR(E154/D154-1,"-")</f>
        <v>-</v>
      </c>
      <c r="F155" s="177" t="str">
        <f t="shared" si="86"/>
        <v>-</v>
      </c>
      <c r="G155" s="177" t="str">
        <f t="shared" ref="G155" ca="1" si="87">IFERROR(IF(G154&lt;&gt;"",G154/F154-1,"-"),"-")</f>
        <v>-</v>
      </c>
      <c r="H155" s="177" t="str">
        <f t="shared" ref="H155" ca="1" si="88">IFERROR(IF(H154&lt;&gt;"",H154/G154-1,"-"),"-")</f>
        <v>-</v>
      </c>
      <c r="I155" s="177" t="str">
        <f t="shared" ref="I155" ca="1" si="89">IFERROR(IF(I154&lt;&gt;"",I154/H154-1,"-"),"-")</f>
        <v>-</v>
      </c>
      <c r="J155" s="177" t="str">
        <f t="shared" ref="J155" ca="1" si="90">IFERROR(IF(J154&lt;&gt;"",J154/I154-1,"-"),"-")</f>
        <v>-</v>
      </c>
      <c r="K155" s="308"/>
      <c r="L155" s="144"/>
    </row>
    <row r="156" spans="1:16" hidden="1">
      <c r="B156" s="170" t="s">
        <v>977</v>
      </c>
      <c r="C156" s="183" t="str">
        <f>IFERROR(INDEX(STATFOR_Data!BL$3:BL$43,MATCH($C149,STATFOR_Data!$BJ$3:$BJ$43,0))/1000,"-")</f>
        <v>-</v>
      </c>
      <c r="D156" s="183" t="str">
        <f>IFERROR(INDEX(STATFOR_Data!BM$3:BM$43,MATCH($C149,STATFOR_Data!$BJ$3:$BJ$43,0))/1000,"-")</f>
        <v>-</v>
      </c>
      <c r="E156" s="183" t="str">
        <f>IFERROR(INDEX(STATFOR_Data!BN$3:BN$43,MATCH($C149,STATFOR_Data!$BJ$3:$BJ$43,0))/1000,"-")</f>
        <v>-</v>
      </c>
      <c r="F156" s="183" t="str">
        <f>IFERROR(INDEX(STATFOR_Data!BO$3:BO$43,MATCH($C149,STATFOR_Data!$BJ$3:$BJ$43,0))/1000,"-")</f>
        <v>-</v>
      </c>
      <c r="G156" s="183" t="str">
        <f ca="1">IFERROR(INDEX(INDIRECT("Table_STATF_"&amp;MID($C$151,SEARCH("forecast",$C$151)+9,3)&amp;"21_TRM_su["&amp;G$153&amp;"B]"),MATCH($C$149,INDIRECT("Table_STATF_"&amp;MID($C$151,SEARCH("forecast",$C$151)+9,3)&amp;"21_TRM_SU[TCZ_Name]"),0))/1000,"-")</f>
        <v>-</v>
      </c>
      <c r="H156" s="183" t="str">
        <f t="shared" ref="H156:J156" ca="1" si="91">IFERROR(INDEX(INDIRECT("Table_STATF_"&amp;MID($C$151,SEARCH("forecast",$C$151)+9,3)&amp;"21_TRM_su["&amp;H$153&amp;"B]"),MATCH($C$149,INDIRECT("Table_STATF_"&amp;MID($C$151,SEARCH("forecast",$C$151)+9,3)&amp;"21_TRM_SU[TCZ_Name]"),0))/1000,"-")</f>
        <v>-</v>
      </c>
      <c r="I156" s="183" t="str">
        <f t="shared" ca="1" si="91"/>
        <v>-</v>
      </c>
      <c r="J156" s="183" t="str">
        <f t="shared" ca="1" si="91"/>
        <v>-</v>
      </c>
      <c r="K156" s="175" t="str">
        <f ca="1">IFERROR((($J156/$E156)^(1/5)-1),"-")</f>
        <v>-</v>
      </c>
      <c r="L156" s="144"/>
    </row>
    <row r="157" spans="1:16" hidden="1">
      <c r="B157" s="168" t="s">
        <v>988</v>
      </c>
      <c r="C157" s="173"/>
      <c r="D157" s="174" t="str">
        <f>IFERROR(D156/C156-1,"-")</f>
        <v>-</v>
      </c>
      <c r="E157" s="174" t="str">
        <f t="shared" ref="E157:F157" si="92">IFERROR(E156/D156-1,"-")</f>
        <v>-</v>
      </c>
      <c r="F157" s="174" t="str">
        <f t="shared" si="92"/>
        <v>-</v>
      </c>
      <c r="G157" s="174" t="str">
        <f t="shared" ref="G157" ca="1" si="93">IFERROR(IF(G156&lt;&gt;"",G156/F156-1,"-"),"-")</f>
        <v>-</v>
      </c>
      <c r="H157" s="174" t="str">
        <f t="shared" ref="H157" ca="1" si="94">IFERROR(IF(H156&lt;&gt;"",H156/G156-1,"-"),"-")</f>
        <v>-</v>
      </c>
      <c r="I157" s="174" t="str">
        <f t="shared" ref="I157" ca="1" si="95">IFERROR(IF(I156&lt;&gt;"",I156/H156-1,"-"),"-")</f>
        <v>-</v>
      </c>
      <c r="J157" s="174" t="str">
        <f t="shared" ref="J157" ca="1" si="96">IFERROR(IF(J156&lt;&gt;"",J156/I156-1,"-"),"-")</f>
        <v>-</v>
      </c>
      <c r="K157" s="311"/>
      <c r="L157" s="144"/>
    </row>
    <row r="158" spans="1:16" ht="9.75" hidden="1" customHeight="1">
      <c r="B158" s="15"/>
      <c r="C158" s="15"/>
      <c r="D158" s="15"/>
      <c r="E158" s="15"/>
      <c r="F158" s="15"/>
      <c r="G158" s="15"/>
      <c r="H158" s="15"/>
      <c r="I158" s="15"/>
      <c r="J158" s="15"/>
      <c r="K158" s="15"/>
      <c r="L158" s="15"/>
      <c r="M158" s="15"/>
    </row>
    <row r="159" spans="1:16" ht="24.75" hidden="1">
      <c r="B159" s="178" t="s">
        <v>278</v>
      </c>
      <c r="C159" s="169" t="s">
        <v>253</v>
      </c>
      <c r="D159" s="169" t="s">
        <v>254</v>
      </c>
      <c r="E159" s="169" t="s">
        <v>1534</v>
      </c>
      <c r="F159" s="169" t="s">
        <v>1535</v>
      </c>
      <c r="G159" s="169">
        <v>2021</v>
      </c>
      <c r="H159" s="169">
        <v>2022</v>
      </c>
      <c r="I159" s="169">
        <v>2023</v>
      </c>
      <c r="J159" s="169">
        <v>2024</v>
      </c>
      <c r="K159" s="169" t="s">
        <v>1411</v>
      </c>
    </row>
    <row r="160" spans="1:16" hidden="1">
      <c r="B160" s="170" t="s">
        <v>255</v>
      </c>
      <c r="C160" s="183" t="str">
        <f>IFERROR(INDEX(STATFOR_Data!AR$3:AR$43,MATCH($C149,STATFOR_Data!$AP$3:$AP$43,0))/1000,"-")</f>
        <v>-</v>
      </c>
      <c r="D160" s="183" t="str">
        <f>IFERROR(INDEX(STATFOR_Data!AS$3:AS$43,MATCH($C149,STATFOR_Data!$AP$3:$AP$43,0))/1000,"-")</f>
        <v>-</v>
      </c>
      <c r="E160" s="183" t="str">
        <f>IFERROR(INDEX(STATFOR_Data!AT$3:AT$43,MATCH($C149,STATFOR_Data!$AP$3:$AP$43,0))/1000,"-")</f>
        <v>-</v>
      </c>
      <c r="F160" s="183" t="str">
        <f>IFERROR(INDEX(STATFOR_Data!AU$3:AU$43,MATCH($C149,STATFOR_Data!$AP$3:$AP$43,0))/1000,"-")</f>
        <v>-</v>
      </c>
      <c r="G160" s="179"/>
      <c r="H160" s="179"/>
      <c r="I160" s="179"/>
      <c r="J160" s="179"/>
      <c r="K160" s="175" t="str">
        <f>IFERROR((($J160/$E160)^(1/5)-1),"-")</f>
        <v>-</v>
      </c>
      <c r="L160" s="144"/>
      <c r="M160" s="87"/>
    </row>
    <row r="161" spans="1:16" hidden="1">
      <c r="B161" s="170" t="s">
        <v>986</v>
      </c>
      <c r="C161" s="176"/>
      <c r="D161" s="177" t="str">
        <f>IFERROR(D160/C160-1,"-")</f>
        <v>-</v>
      </c>
      <c r="E161" s="177" t="str">
        <f t="shared" ref="E161:F161" si="97">IFERROR(E160/D160-1,"-")</f>
        <v>-</v>
      </c>
      <c r="F161" s="177" t="str">
        <f t="shared" si="97"/>
        <v>-</v>
      </c>
      <c r="G161" s="180"/>
      <c r="H161" s="180"/>
      <c r="I161" s="180"/>
      <c r="J161" s="180"/>
      <c r="K161" s="176"/>
      <c r="L161" s="144"/>
    </row>
    <row r="162" spans="1:16" hidden="1">
      <c r="B162" s="170" t="s">
        <v>977</v>
      </c>
      <c r="C162" s="183" t="str">
        <f>IFERROR(INDEX(STATFOR_Data!BL$3:BL$43,MATCH($C149,STATFOR_Data!$BJ$3:$BJ$43,0))/1000,"-")</f>
        <v>-</v>
      </c>
      <c r="D162" s="183" t="str">
        <f>IFERROR(INDEX(STATFOR_Data!BM$3:BM$43,MATCH($C149,STATFOR_Data!$BJ$3:$BJ$43,0))/1000,"-")</f>
        <v>-</v>
      </c>
      <c r="E162" s="183" t="str">
        <f>IFERROR(INDEX(STATFOR_Data!BN$3:BN$43,MATCH($C149,STATFOR_Data!$BJ$3:$BJ$43,0))/1000,"-")</f>
        <v>-</v>
      </c>
      <c r="F162" s="183" t="str">
        <f>IFERROR(INDEX(STATFOR_Data!BO$3:BO$43,MATCH($C149,STATFOR_Data!$BJ$3:$BJ$43,0))/1000,"-")</f>
        <v>-</v>
      </c>
      <c r="G162" s="184"/>
      <c r="H162" s="184"/>
      <c r="I162" s="184"/>
      <c r="J162" s="184"/>
      <c r="K162" s="175" t="str">
        <f>IFERROR((($J162/$E162)^(1/5)-1),"-")</f>
        <v>-</v>
      </c>
      <c r="L162" s="144"/>
    </row>
    <row r="163" spans="1:16" hidden="1">
      <c r="B163" s="170" t="s">
        <v>988</v>
      </c>
      <c r="C163" s="173"/>
      <c r="D163" s="174" t="str">
        <f>IFERROR(D162/C162-1,"-")</f>
        <v>-</v>
      </c>
      <c r="E163" s="174" t="str">
        <f t="shared" ref="E163:F163" si="98">IFERROR(E162/D162-1,"-")</f>
        <v>-</v>
      </c>
      <c r="F163" s="174" t="str">
        <f t="shared" si="98"/>
        <v>-</v>
      </c>
      <c r="G163" s="180"/>
      <c r="H163" s="180"/>
      <c r="I163" s="180"/>
      <c r="J163" s="180"/>
      <c r="K163" s="176"/>
      <c r="L163" s="144"/>
    </row>
    <row r="164" spans="1:16" hidden="1">
      <c r="B164" s="307"/>
      <c r="C164" s="307"/>
      <c r="D164" s="307"/>
      <c r="E164" s="307"/>
      <c r="F164" s="307"/>
      <c r="G164" s="307"/>
      <c r="H164" s="307"/>
      <c r="I164" s="307"/>
      <c r="J164" s="307"/>
      <c r="K164" s="307"/>
    </row>
    <row r="165" spans="1:16" customFormat="1" ht="28.5" hidden="1" customHeight="1">
      <c r="B165" s="664" t="s">
        <v>1184</v>
      </c>
      <c r="C165" s="665"/>
      <c r="D165" s="665"/>
      <c r="E165" s="665"/>
      <c r="F165" s="665"/>
      <c r="G165" s="665"/>
      <c r="H165" s="665"/>
      <c r="I165" s="665"/>
      <c r="J165" s="665"/>
      <c r="K165" s="666"/>
      <c r="L165" s="181"/>
    </row>
    <row r="166" spans="1:16" customFormat="1" ht="27" hidden="1" customHeight="1">
      <c r="B166" s="637"/>
      <c r="C166" s="638"/>
      <c r="D166" s="638"/>
      <c r="E166" s="638"/>
      <c r="F166" s="638"/>
      <c r="G166" s="638"/>
      <c r="H166" s="638"/>
      <c r="I166" s="638"/>
      <c r="J166" s="638"/>
      <c r="K166" s="638"/>
      <c r="L166" s="182"/>
    </row>
    <row r="167" spans="1:16" ht="31.5" hidden="1" customHeight="1">
      <c r="B167" s="667" t="s">
        <v>281</v>
      </c>
      <c r="C167" s="667"/>
      <c r="D167" s="667"/>
      <c r="E167" s="667"/>
      <c r="F167" s="667"/>
      <c r="G167" s="667"/>
      <c r="H167" s="667"/>
      <c r="I167" s="667"/>
      <c r="J167" s="667"/>
      <c r="K167" s="667"/>
      <c r="L167"/>
      <c r="M167"/>
      <c r="N167"/>
      <c r="O167"/>
      <c r="P167"/>
    </row>
    <row r="168" spans="1:16" customFormat="1" hidden="1"/>
    <row r="169" spans="1:16" ht="15.75" hidden="1" customHeight="1">
      <c r="B169" s="164" t="s">
        <v>703</v>
      </c>
      <c r="C169" s="668" t="str">
        <f>IF('1.1 The situation'!$C$93="","",'1.1 The situation'!$C$93)</f>
        <v/>
      </c>
      <c r="D169" s="669"/>
      <c r="E169" s="669"/>
      <c r="F169" s="669"/>
      <c r="G169" s="669"/>
      <c r="H169" s="669"/>
      <c r="I169" s="669"/>
      <c r="J169" s="669"/>
      <c r="K169" s="670"/>
      <c r="L169" s="144"/>
    </row>
    <row r="170" spans="1:16" hidden="1">
      <c r="C170" s="165"/>
      <c r="D170" s="166"/>
      <c r="E170" s="166"/>
      <c r="F170" s="166"/>
      <c r="G170" s="166"/>
      <c r="H170" s="166"/>
      <c r="I170" s="166"/>
      <c r="J170" s="166"/>
      <c r="K170" s="166"/>
    </row>
    <row r="171" spans="1:16" ht="15" hidden="1" customHeight="1">
      <c r="A171" s="397">
        <f ca="1">MATCH(C171,OFFSET('Dynamic lists'!$V$5,,,'Dynamic lists'!$W$5),0)-1</f>
        <v>0</v>
      </c>
      <c r="B171" s="15" t="s">
        <v>280</v>
      </c>
      <c r="C171" s="671" t="s">
        <v>412</v>
      </c>
      <c r="D171" s="672"/>
      <c r="E171" s="672"/>
      <c r="F171" s="672"/>
      <c r="G171" s="672"/>
      <c r="H171" s="672"/>
      <c r="I171" s="672"/>
      <c r="J171" s="672"/>
      <c r="K171" s="672"/>
      <c r="L171" s="144"/>
      <c r="M171" s="38"/>
    </row>
    <row r="172" spans="1:16" ht="9.75" hidden="1" customHeight="1">
      <c r="B172" s="15"/>
      <c r="C172" s="160"/>
      <c r="D172" s="160"/>
      <c r="E172" s="160"/>
      <c r="F172" s="160"/>
      <c r="G172" s="160"/>
      <c r="H172" s="160"/>
      <c r="I172" s="160"/>
      <c r="J172" s="160"/>
      <c r="K172" s="160"/>
      <c r="L172" s="15"/>
      <c r="M172" s="15"/>
    </row>
    <row r="173" spans="1:16" ht="24.75" hidden="1">
      <c r="B173" s="167" t="str">
        <f>IF($C171="Select traffic forecast","",$C171)</f>
        <v/>
      </c>
      <c r="C173" s="169" t="s">
        <v>253</v>
      </c>
      <c r="D173" s="169" t="s">
        <v>254</v>
      </c>
      <c r="E173" s="169" t="s">
        <v>1534</v>
      </c>
      <c r="F173" s="169" t="s">
        <v>1535</v>
      </c>
      <c r="G173" s="169">
        <v>2021</v>
      </c>
      <c r="H173" s="169">
        <v>2022</v>
      </c>
      <c r="I173" s="169">
        <v>2023</v>
      </c>
      <c r="J173" s="169">
        <v>2024</v>
      </c>
      <c r="K173" s="169" t="s">
        <v>1411</v>
      </c>
    </row>
    <row r="174" spans="1:16" hidden="1">
      <c r="B174" s="170" t="s">
        <v>255</v>
      </c>
      <c r="C174" s="183" t="str">
        <f>IFERROR(INDEX(STATFOR_Data!AR$3:AR$43,MATCH($C169,STATFOR_Data!$AP$3:$AP$43,0))/1000,"-")</f>
        <v>-</v>
      </c>
      <c r="D174" s="183" t="str">
        <f>IFERROR(INDEX(STATFOR_Data!AS$3:AS$43,MATCH($C169,STATFOR_Data!$AP$3:$AP$43,0))/1000,"-")</f>
        <v>-</v>
      </c>
      <c r="E174" s="183" t="str">
        <f>IFERROR(INDEX(STATFOR_Data!AT$3:AT$43,MATCH($C169,STATFOR_Data!$AP$3:$AP$43,0))/1000,"-")</f>
        <v>-</v>
      </c>
      <c r="F174" s="183" t="str">
        <f>IFERROR(INDEX(STATFOR_Data!AU$3:AU$43,MATCH($C169,STATFOR_Data!$AP$3:$AP$43,0))/1000,"-")</f>
        <v>-</v>
      </c>
      <c r="G174" s="183" t="str">
        <f ca="1">IFERROR(INDEX(INDIRECT("Table_STATF_"&amp;MID($C$171,SEARCH("forecast",$C$171)+9,3)&amp;"21_TRM_MVT["&amp;G$173&amp;"B]"),MATCH($C$169,INDIRECT("Table_STATF_"&amp;MID($C$171,SEARCH("forecast",$C$171)+9,3)&amp;"21_TRM_MVT[TCZ_Name]"),0))/1000,"-")</f>
        <v>-</v>
      </c>
      <c r="H174" s="183" t="str">
        <f t="shared" ref="H174:J174" ca="1" si="99">IFERROR(INDEX(INDIRECT("Table_STATF_"&amp;MID($C$171,SEARCH("forecast",$C$171)+9,3)&amp;"21_TRM_MVT["&amp;H$173&amp;"B]"),MATCH($C$169,INDIRECT("Table_STATF_"&amp;MID($C$171,SEARCH("forecast",$C$171)+9,3)&amp;"21_TRM_MVT[TCZ_Name]"),0))/1000,"-")</f>
        <v>-</v>
      </c>
      <c r="I174" s="183" t="str">
        <f t="shared" ca="1" si="99"/>
        <v>-</v>
      </c>
      <c r="J174" s="183" t="str">
        <f t="shared" ca="1" si="99"/>
        <v>-</v>
      </c>
      <c r="K174" s="175" t="str">
        <f ca="1">IFERROR((($J174/$E174)^(1/5)-1),"-")</f>
        <v>-</v>
      </c>
      <c r="L174" s="144"/>
    </row>
    <row r="175" spans="1:16" hidden="1">
      <c r="B175" s="170" t="s">
        <v>986</v>
      </c>
      <c r="C175" s="176"/>
      <c r="D175" s="177" t="str">
        <f>IFERROR(D174/C174-1,"-")</f>
        <v>-</v>
      </c>
      <c r="E175" s="177" t="str">
        <f t="shared" ref="E175:F175" si="100">IFERROR(E174/D174-1,"-")</f>
        <v>-</v>
      </c>
      <c r="F175" s="177" t="str">
        <f t="shared" si="100"/>
        <v>-</v>
      </c>
      <c r="G175" s="177" t="str">
        <f t="shared" ref="G175" ca="1" si="101">IFERROR(IF(G174&lt;&gt;"",G174/F174-1,"-"),"-")</f>
        <v>-</v>
      </c>
      <c r="H175" s="177" t="str">
        <f t="shared" ref="H175" ca="1" si="102">IFERROR(IF(H174&lt;&gt;"",H174/G174-1,"-"),"-")</f>
        <v>-</v>
      </c>
      <c r="I175" s="177" t="str">
        <f t="shared" ref="I175" ca="1" si="103">IFERROR(IF(I174&lt;&gt;"",I174/H174-1,"-"),"-")</f>
        <v>-</v>
      </c>
      <c r="J175" s="177" t="str">
        <f t="shared" ref="J175" ca="1" si="104">IFERROR(IF(J174&lt;&gt;"",J174/I174-1,"-"),"-")</f>
        <v>-</v>
      </c>
      <c r="K175" s="308"/>
      <c r="L175" s="144"/>
    </row>
    <row r="176" spans="1:16" hidden="1">
      <c r="B176" s="170" t="s">
        <v>977</v>
      </c>
      <c r="C176" s="183" t="str">
        <f>IFERROR(INDEX(STATFOR_Data!BL$3:BL$43,MATCH($C169,STATFOR_Data!$BJ$3:$BJ$43,0))/1000,"-")</f>
        <v>-</v>
      </c>
      <c r="D176" s="183" t="str">
        <f>IFERROR(INDEX(STATFOR_Data!BM$3:BM$43,MATCH($C169,STATFOR_Data!$BJ$3:$BJ$43,0))/1000,"-")</f>
        <v>-</v>
      </c>
      <c r="E176" s="183" t="str">
        <f>IFERROR(INDEX(STATFOR_Data!BN$3:BN$43,MATCH($C169,STATFOR_Data!$BJ$3:$BJ$43,0))/1000,"-")</f>
        <v>-</v>
      </c>
      <c r="F176" s="183" t="str">
        <f>IFERROR(INDEX(STATFOR_Data!BO$3:BO$43,MATCH($C169,STATFOR_Data!$BJ$3:$BJ$43,0))/1000,"-")</f>
        <v>-</v>
      </c>
      <c r="G176" s="183" t="str">
        <f ca="1">IFERROR(INDEX(INDIRECT("Table_STATF_"&amp;MID($C$171,SEARCH("forecast",$C$171)+9,3)&amp;"21_TRM_su["&amp;G$173&amp;"B]"),MATCH($C$169,INDIRECT("Table_STATF_"&amp;MID($C$171,SEARCH("forecast",$C$171)+9,3)&amp;"21_TRM_SU[TCZ_Name]"),0))/1000,"-")</f>
        <v>-</v>
      </c>
      <c r="H176" s="183" t="str">
        <f ca="1">IFERROR(INDEX(INDIRECT("Table_STATF_"&amp;MID($C$171,SEARCH("forecast",$C$171)+9,3)&amp;"21_TRM_su["&amp;H$173&amp;"B]"),MATCH($C$169,INDIRECT("Table_STATF_"&amp;MID($C$171,SEARCH("forecast",$C$171)+9,3)&amp;"21_TRM_SU[TCZ_Name]"),0))/1000,"-")</f>
        <v>-</v>
      </c>
      <c r="I176" s="183" t="str">
        <f ca="1">IFERROR(INDEX(INDIRECT("Table_STATF_"&amp;MID($C$171,SEARCH("forecast",$C$171)+9,3)&amp;"21_TRM_su["&amp;I$173&amp;"B]"),MATCH($C$169,INDIRECT("Table_STATF_"&amp;MID($C$171,SEARCH("forecast",$C$171)+9,3)&amp;"21_TRM_SU[TCZ_Name]"),0))/1000,"-")</f>
        <v>-</v>
      </c>
      <c r="J176" s="183" t="str">
        <f ca="1">IFERROR(INDEX(INDIRECT("Table_STATF_"&amp;MID($C$171,SEARCH("forecast",$C$171)+9,3)&amp;"21_TRM_su["&amp;J$173&amp;"B]"),MATCH($C$169,INDIRECT("Table_STATF_"&amp;MID($C$171,SEARCH("forecast",$C$171)+9,3)&amp;"21_TRM_SU[TCZ_Name]"),0))/1000,"-")</f>
        <v>-</v>
      </c>
      <c r="K176" s="175" t="str">
        <f ca="1">IFERROR((($J176/$E176)^(1/5)-1),"-")</f>
        <v>-</v>
      </c>
      <c r="L176" s="144"/>
    </row>
    <row r="177" spans="1:16" hidden="1">
      <c r="B177" s="168" t="s">
        <v>988</v>
      </c>
      <c r="C177" s="173"/>
      <c r="D177" s="174" t="str">
        <f>IFERROR(D176/C176-1,"-")</f>
        <v>-</v>
      </c>
      <c r="E177" s="174" t="str">
        <f t="shared" ref="E177:F177" si="105">IFERROR(E176/D176-1,"-")</f>
        <v>-</v>
      </c>
      <c r="F177" s="174" t="str">
        <f t="shared" si="105"/>
        <v>-</v>
      </c>
      <c r="G177" s="174" t="str">
        <f t="shared" ref="G177" ca="1" si="106">IFERROR(IF(G176&lt;&gt;"",G176/F176-1,"-"),"-")</f>
        <v>-</v>
      </c>
      <c r="H177" s="174" t="str">
        <f t="shared" ref="H177" ca="1" si="107">IFERROR(IF(H176&lt;&gt;"",H176/G176-1,"-"),"-")</f>
        <v>-</v>
      </c>
      <c r="I177" s="174" t="str">
        <f t="shared" ref="I177" ca="1" si="108">IFERROR(IF(I176&lt;&gt;"",I176/H176-1,"-"),"-")</f>
        <v>-</v>
      </c>
      <c r="J177" s="174" t="str">
        <f t="shared" ref="J177" ca="1" si="109">IFERROR(IF(J176&lt;&gt;"",J176/I176-1,"-"),"-")</f>
        <v>-</v>
      </c>
      <c r="K177" s="311"/>
      <c r="L177" s="144"/>
    </row>
    <row r="178" spans="1:16" ht="9.75" hidden="1" customHeight="1">
      <c r="B178" s="15"/>
      <c r="C178" s="15"/>
      <c r="D178" s="15"/>
      <c r="E178" s="15"/>
      <c r="F178" s="15"/>
      <c r="G178" s="15"/>
      <c r="H178" s="15"/>
      <c r="I178" s="15"/>
      <c r="J178" s="15"/>
      <c r="K178" s="15"/>
      <c r="L178" s="15"/>
      <c r="M178" s="15"/>
    </row>
    <row r="179" spans="1:16" ht="24.75" hidden="1">
      <c r="B179" s="178" t="s">
        <v>278</v>
      </c>
      <c r="C179" s="169" t="s">
        <v>253</v>
      </c>
      <c r="D179" s="169" t="s">
        <v>254</v>
      </c>
      <c r="E179" s="169" t="s">
        <v>1534</v>
      </c>
      <c r="F179" s="169" t="s">
        <v>1535</v>
      </c>
      <c r="G179" s="169">
        <v>2021</v>
      </c>
      <c r="H179" s="169">
        <v>2022</v>
      </c>
      <c r="I179" s="169">
        <v>2023</v>
      </c>
      <c r="J179" s="169">
        <v>2024</v>
      </c>
      <c r="K179" s="169" t="s">
        <v>1411</v>
      </c>
    </row>
    <row r="180" spans="1:16" hidden="1">
      <c r="B180" s="170" t="s">
        <v>255</v>
      </c>
      <c r="C180" s="183" t="str">
        <f>IFERROR(INDEX(STATFOR_Data!AR$3:AR$43,MATCH($C169,STATFOR_Data!$AP$3:$AP$43,0))/1000,"-")</f>
        <v>-</v>
      </c>
      <c r="D180" s="183" t="str">
        <f>IFERROR(INDEX(STATFOR_Data!AS$3:AS$43,MATCH($C169,STATFOR_Data!$AP$3:$AP$43,0))/1000,"-")</f>
        <v>-</v>
      </c>
      <c r="E180" s="183" t="str">
        <f>IFERROR(INDEX(STATFOR_Data!AT$3:AT$43,MATCH($C169,STATFOR_Data!$AP$3:$AP$43,0))/1000,"-")</f>
        <v>-</v>
      </c>
      <c r="F180" s="183" t="str">
        <f>IFERROR(INDEX(STATFOR_Data!AU$3:AU$43,MATCH($C169,STATFOR_Data!$AP$3:$AP$43,0))/1000,"-")</f>
        <v>-</v>
      </c>
      <c r="G180" s="179"/>
      <c r="H180" s="179"/>
      <c r="I180" s="179"/>
      <c r="J180" s="179"/>
      <c r="K180" s="175" t="str">
        <f>IFERROR((($J180/$E180)^(1/5)-1),"-")</f>
        <v>-</v>
      </c>
      <c r="L180" s="144"/>
      <c r="M180" s="87"/>
    </row>
    <row r="181" spans="1:16" hidden="1">
      <c r="B181" s="170" t="s">
        <v>986</v>
      </c>
      <c r="C181" s="176"/>
      <c r="D181" s="177" t="str">
        <f>IFERROR(D180/C180-1,"-")</f>
        <v>-</v>
      </c>
      <c r="E181" s="177" t="str">
        <f t="shared" ref="E181:F181" si="110">IFERROR(E180/D180-1,"-")</f>
        <v>-</v>
      </c>
      <c r="F181" s="177" t="str">
        <f t="shared" si="110"/>
        <v>-</v>
      </c>
      <c r="G181" s="180"/>
      <c r="H181" s="180"/>
      <c r="I181" s="180"/>
      <c r="J181" s="180"/>
      <c r="K181" s="176"/>
      <c r="L181" s="144"/>
    </row>
    <row r="182" spans="1:16" hidden="1">
      <c r="B182" s="170" t="s">
        <v>977</v>
      </c>
      <c r="C182" s="183" t="str">
        <f>IFERROR(INDEX(STATFOR_Data!BL$3:BL$43,MATCH($C169,STATFOR_Data!$BJ$3:$BJ$43,0))/1000,"-")</f>
        <v>-</v>
      </c>
      <c r="D182" s="183" t="str">
        <f>IFERROR(INDEX(STATFOR_Data!BM$3:BM$43,MATCH($C169,STATFOR_Data!$BJ$3:$BJ$43,0))/1000,"-")</f>
        <v>-</v>
      </c>
      <c r="E182" s="183" t="str">
        <f>IFERROR(INDEX(STATFOR_Data!BN$3:BN$43,MATCH($C169,STATFOR_Data!$BJ$3:$BJ$43,0))/1000,"-")</f>
        <v>-</v>
      </c>
      <c r="F182" s="183" t="str">
        <f>IFERROR(INDEX(STATFOR_Data!BO$3:BO$43,MATCH($C169,STATFOR_Data!$BJ$3:$BJ$43,0))/1000,"-")</f>
        <v>-</v>
      </c>
      <c r="G182" s="184"/>
      <c r="H182" s="184"/>
      <c r="I182" s="184"/>
      <c r="J182" s="184"/>
      <c r="K182" s="175" t="str">
        <f>IFERROR((($J182/$E182)^(1/5)-1),"-")</f>
        <v>-</v>
      </c>
      <c r="L182" s="144"/>
    </row>
    <row r="183" spans="1:16" hidden="1">
      <c r="B183" s="170" t="s">
        <v>988</v>
      </c>
      <c r="C183" s="173"/>
      <c r="D183" s="174" t="str">
        <f>IFERROR(D182/C182-1,"-")</f>
        <v>-</v>
      </c>
      <c r="E183" s="174" t="str">
        <f t="shared" ref="E183:F183" si="111">IFERROR(E182/D182-1,"-")</f>
        <v>-</v>
      </c>
      <c r="F183" s="174" t="str">
        <f t="shared" si="111"/>
        <v>-</v>
      </c>
      <c r="G183" s="180"/>
      <c r="H183" s="180"/>
      <c r="I183" s="180"/>
      <c r="J183" s="180"/>
      <c r="K183" s="176"/>
      <c r="L183" s="144"/>
    </row>
    <row r="184" spans="1:16" hidden="1">
      <c r="B184" s="307"/>
      <c r="C184" s="307"/>
      <c r="D184" s="307"/>
      <c r="E184" s="307"/>
      <c r="F184" s="307"/>
      <c r="G184" s="307"/>
      <c r="H184" s="307"/>
      <c r="I184" s="307"/>
      <c r="J184" s="307"/>
      <c r="K184" s="307"/>
    </row>
    <row r="185" spans="1:16" customFormat="1" ht="28.5" hidden="1" customHeight="1">
      <c r="B185" s="664" t="s">
        <v>1184</v>
      </c>
      <c r="C185" s="665"/>
      <c r="D185" s="665"/>
      <c r="E185" s="665"/>
      <c r="F185" s="665"/>
      <c r="G185" s="665"/>
      <c r="H185" s="665"/>
      <c r="I185" s="665"/>
      <c r="J185" s="665"/>
      <c r="K185" s="666"/>
      <c r="L185" s="181"/>
    </row>
    <row r="186" spans="1:16" customFormat="1" ht="27" hidden="1" customHeight="1">
      <c r="B186" s="637"/>
      <c r="C186" s="638"/>
      <c r="D186" s="638"/>
      <c r="E186" s="638"/>
      <c r="F186" s="638"/>
      <c r="G186" s="638"/>
      <c r="H186" s="638"/>
      <c r="I186" s="638"/>
      <c r="J186" s="638"/>
      <c r="K186" s="638"/>
      <c r="L186" s="182"/>
    </row>
    <row r="187" spans="1:16" ht="31.5" hidden="1" customHeight="1">
      <c r="B187" s="667" t="s">
        <v>281</v>
      </c>
      <c r="C187" s="667"/>
      <c r="D187" s="667"/>
      <c r="E187" s="667"/>
      <c r="F187" s="667"/>
      <c r="G187" s="667"/>
      <c r="H187" s="667"/>
      <c r="I187" s="667"/>
      <c r="J187" s="667"/>
      <c r="K187" s="667"/>
      <c r="L187"/>
      <c r="M187"/>
      <c r="N187"/>
      <c r="O187"/>
      <c r="P187"/>
    </row>
    <row r="188" spans="1:16" customFormat="1" hidden="1"/>
    <row r="189" spans="1:16" ht="15.75" hidden="1" customHeight="1">
      <c r="B189" s="164" t="s">
        <v>704</v>
      </c>
      <c r="C189" s="668" t="str">
        <f>IF('1.1 The situation'!$C$94="","",'1.1 The situation'!$C$94)</f>
        <v/>
      </c>
      <c r="D189" s="669"/>
      <c r="E189" s="669"/>
      <c r="F189" s="669"/>
      <c r="G189" s="669"/>
      <c r="H189" s="669"/>
      <c r="I189" s="669"/>
      <c r="J189" s="669"/>
      <c r="K189" s="670"/>
      <c r="L189" s="144"/>
    </row>
    <row r="190" spans="1:16" hidden="1">
      <c r="C190" s="165"/>
      <c r="D190" s="166"/>
      <c r="E190" s="166"/>
      <c r="F190" s="166"/>
      <c r="G190" s="166"/>
      <c r="H190" s="166"/>
      <c r="I190" s="166"/>
      <c r="J190" s="166"/>
      <c r="K190" s="166"/>
    </row>
    <row r="191" spans="1:16" ht="15" hidden="1" customHeight="1">
      <c r="A191" s="397">
        <f ca="1">MATCH(C191,OFFSET('Dynamic lists'!$V$5,,,'Dynamic lists'!$W$5),0)-1</f>
        <v>0</v>
      </c>
      <c r="B191" s="15" t="s">
        <v>280</v>
      </c>
      <c r="C191" s="671" t="s">
        <v>412</v>
      </c>
      <c r="D191" s="672"/>
      <c r="E191" s="672"/>
      <c r="F191" s="672"/>
      <c r="G191" s="672"/>
      <c r="H191" s="672"/>
      <c r="I191" s="672"/>
      <c r="J191" s="672"/>
      <c r="K191" s="672"/>
      <c r="L191" s="144"/>
      <c r="M191" s="38"/>
    </row>
    <row r="192" spans="1:16" ht="9.75" hidden="1" customHeight="1">
      <c r="B192" s="15"/>
      <c r="C192" s="160"/>
      <c r="D192" s="160"/>
      <c r="E192" s="160"/>
      <c r="F192" s="160"/>
      <c r="G192" s="160"/>
      <c r="H192" s="160"/>
      <c r="I192" s="160"/>
      <c r="J192" s="160"/>
      <c r="K192" s="160"/>
      <c r="L192" s="15"/>
      <c r="M192" s="15"/>
    </row>
    <row r="193" spans="2:16" ht="24.75" hidden="1">
      <c r="B193" s="167" t="str">
        <f>IF($C191="Select traffic forecast","",$C191)</f>
        <v/>
      </c>
      <c r="C193" s="169" t="s">
        <v>253</v>
      </c>
      <c r="D193" s="169" t="s">
        <v>254</v>
      </c>
      <c r="E193" s="169" t="s">
        <v>1534</v>
      </c>
      <c r="F193" s="169" t="s">
        <v>1535</v>
      </c>
      <c r="G193" s="169">
        <v>2021</v>
      </c>
      <c r="H193" s="169">
        <v>2022</v>
      </c>
      <c r="I193" s="169">
        <v>2023</v>
      </c>
      <c r="J193" s="169">
        <v>2024</v>
      </c>
      <c r="K193" s="169" t="s">
        <v>1411</v>
      </c>
    </row>
    <row r="194" spans="2:16" hidden="1">
      <c r="B194" s="170" t="s">
        <v>255</v>
      </c>
      <c r="C194" s="183" t="str">
        <f>IFERROR(INDEX(STATFOR_Data!AR$3:AR$43,MATCH($C189,STATFOR_Data!$AP$3:$AP$43,0))/1000,"-")</f>
        <v>-</v>
      </c>
      <c r="D194" s="183" t="str">
        <f>IFERROR(INDEX(STATFOR_Data!AS$3:AS$43,MATCH($C189,STATFOR_Data!$AP$3:$AP$43,0))/1000,"-")</f>
        <v>-</v>
      </c>
      <c r="E194" s="183" t="str">
        <f>IFERROR(INDEX(STATFOR_Data!AT$3:AT$43,MATCH($C189,STATFOR_Data!$AP$3:$AP$43,0))/1000,"-")</f>
        <v>-</v>
      </c>
      <c r="F194" s="183" t="str">
        <f>IFERROR(INDEX(STATFOR_Data!AU$3:AU$43,MATCH($C189,STATFOR_Data!$AP$3:$AP$43,0))/1000,"-")</f>
        <v>-</v>
      </c>
      <c r="G194" s="183" t="str">
        <f ca="1">IFERROR(INDEX(INDIRECT("Table_STATF_"&amp;MID($C$191,SEARCH("forecast",$C$191)+9,3)&amp;"21_TRM_MVT["&amp;G$193&amp;"B]"),MATCH($C$189,INDIRECT("Table_STATF_"&amp;MID($C$191,SEARCH("forecast",$C$191)+9,3)&amp;"21_TRM_MVT[TCZ_Name]"),0))/1000,"-")</f>
        <v>-</v>
      </c>
      <c r="H194" s="183" t="str">
        <f t="shared" ref="H194:J194" ca="1" si="112">IFERROR(INDEX(INDIRECT("Table_STATF_"&amp;MID($C$191,SEARCH("forecast",$C$191)+9,3)&amp;"21_TRM_MVT["&amp;H$193&amp;"B]"),MATCH($C$189,INDIRECT("Table_STATF_"&amp;MID($C$191,SEARCH("forecast",$C$191)+9,3)&amp;"21_TRM_MVT[TCZ_Name]"),0))/1000,"-")</f>
        <v>-</v>
      </c>
      <c r="I194" s="183" t="str">
        <f t="shared" ca="1" si="112"/>
        <v>-</v>
      </c>
      <c r="J194" s="183" t="str">
        <f t="shared" ca="1" si="112"/>
        <v>-</v>
      </c>
      <c r="K194" s="175" t="str">
        <f ca="1">IFERROR((($J194/$E194)^(1/5)-1),"-")</f>
        <v>-</v>
      </c>
      <c r="L194" s="144"/>
    </row>
    <row r="195" spans="2:16" hidden="1">
      <c r="B195" s="170" t="s">
        <v>986</v>
      </c>
      <c r="C195" s="176"/>
      <c r="D195" s="177" t="str">
        <f>IFERROR(D194/C194-1,"-")</f>
        <v>-</v>
      </c>
      <c r="E195" s="177" t="str">
        <f t="shared" ref="E195:F195" si="113">IFERROR(E194/D194-1,"-")</f>
        <v>-</v>
      </c>
      <c r="F195" s="177" t="str">
        <f t="shared" si="113"/>
        <v>-</v>
      </c>
      <c r="G195" s="177" t="str">
        <f t="shared" ref="G195" ca="1" si="114">IFERROR(IF(G194&lt;&gt;"",G194/F194-1,"-"),"-")</f>
        <v>-</v>
      </c>
      <c r="H195" s="177" t="str">
        <f t="shared" ref="H195" ca="1" si="115">IFERROR(IF(H194&lt;&gt;"",H194/G194-1,"-"),"-")</f>
        <v>-</v>
      </c>
      <c r="I195" s="177" t="str">
        <f t="shared" ref="I195" ca="1" si="116">IFERROR(IF(I194&lt;&gt;"",I194/H194-1,"-"),"-")</f>
        <v>-</v>
      </c>
      <c r="J195" s="177" t="str">
        <f t="shared" ref="J195" ca="1" si="117">IFERROR(IF(J194&lt;&gt;"",J194/I194-1,"-"),"-")</f>
        <v>-</v>
      </c>
      <c r="K195" s="308"/>
      <c r="L195" s="144"/>
    </row>
    <row r="196" spans="2:16" hidden="1">
      <c r="B196" s="170" t="s">
        <v>977</v>
      </c>
      <c r="C196" s="183" t="str">
        <f>IFERROR(INDEX(STATFOR_Data!BL$3:BL$43,MATCH($C189,STATFOR_Data!$BJ$3:$BJ$43,0))/1000,"-")</f>
        <v>-</v>
      </c>
      <c r="D196" s="183" t="str">
        <f>IFERROR(INDEX(STATFOR_Data!BM$3:BM$43,MATCH($C189,STATFOR_Data!$BJ$3:$BJ$43,0))/1000,"-")</f>
        <v>-</v>
      </c>
      <c r="E196" s="183" t="str">
        <f>IFERROR(INDEX(STATFOR_Data!BN$3:BN$43,MATCH($C189,STATFOR_Data!$BJ$3:$BJ$43,0))/1000,"-")</f>
        <v>-</v>
      </c>
      <c r="F196" s="183" t="str">
        <f>IFERROR(INDEX(STATFOR_Data!BO$3:BO$43,MATCH($C189,STATFOR_Data!$BJ$3:$BJ$43,0))/1000,"-")</f>
        <v>-</v>
      </c>
      <c r="G196" s="183" t="str">
        <f ca="1">IFERROR(INDEX(INDIRECT("Table_STATF_"&amp;MID($C$191,SEARCH("forecast",$C$191)+9,3)&amp;"21_TRM_su["&amp;G$193&amp;"B]"),MATCH($C$189,INDIRECT("Table_STATF_"&amp;MID($C$191,SEARCH("forecast",$C$191)+9,3)&amp;"21_TRM_SU[TCZ_Name]"),0))/1000,"-")</f>
        <v>-</v>
      </c>
      <c r="H196" s="183" t="str">
        <f ca="1">IFERROR(INDEX(INDIRECT("Table_STATF_"&amp;MID($C$191,SEARCH("forecast",$C$191)+9,3)&amp;"21_TRM_su["&amp;H$193&amp;"B]"),MATCH($C$189,INDIRECT("Table_STATF_"&amp;MID($C$191,SEARCH("forecast",$C$191)+9,3)&amp;"21_TRM_SU[TCZ_Name]"),0))/1000,"-")</f>
        <v>-</v>
      </c>
      <c r="I196" s="183" t="str">
        <f ca="1">IFERROR(INDEX(INDIRECT("Table_STATF_"&amp;MID($C$191,SEARCH("forecast",$C$191)+9,3)&amp;"21_TRM_su["&amp;I$193&amp;"B]"),MATCH($C$189,INDIRECT("Table_STATF_"&amp;MID($C$191,SEARCH("forecast",$C$191)+9,3)&amp;"21_TRM_SU[TCZ_Name]"),0))/1000,"-")</f>
        <v>-</v>
      </c>
      <c r="J196" s="183" t="str">
        <f ca="1">IFERROR(INDEX(INDIRECT("Table_STATF_"&amp;MID($C$191,SEARCH("forecast",$C$191)+9,3)&amp;"21_TRM_su["&amp;J$193&amp;"B]"),MATCH($C$189,INDIRECT("Table_STATF_"&amp;MID($C$191,SEARCH("forecast",$C$191)+9,3)&amp;"21_TRM_SU[TCZ_Name]"),0))/1000,"-")</f>
        <v>-</v>
      </c>
      <c r="K196" s="175" t="str">
        <f ca="1">IFERROR((($J196/$E196)^(1/5)-1),"-")</f>
        <v>-</v>
      </c>
      <c r="L196" s="144"/>
    </row>
    <row r="197" spans="2:16" hidden="1">
      <c r="B197" s="168" t="s">
        <v>988</v>
      </c>
      <c r="C197" s="173"/>
      <c r="D197" s="174" t="str">
        <f>IFERROR(D196/C196-1,"-")</f>
        <v>-</v>
      </c>
      <c r="E197" s="174" t="str">
        <f t="shared" ref="E197:F197" si="118">IFERROR(E196/D196-1,"-")</f>
        <v>-</v>
      </c>
      <c r="F197" s="174" t="str">
        <f t="shared" si="118"/>
        <v>-</v>
      </c>
      <c r="G197" s="174" t="str">
        <f t="shared" ref="G197" ca="1" si="119">IFERROR(IF(G196&lt;&gt;"",G196/F196-1,"-"),"-")</f>
        <v>-</v>
      </c>
      <c r="H197" s="174" t="str">
        <f t="shared" ref="H197" ca="1" si="120">IFERROR(IF(H196&lt;&gt;"",H196/G196-1,"-"),"-")</f>
        <v>-</v>
      </c>
      <c r="I197" s="174" t="str">
        <f t="shared" ref="I197" ca="1" si="121">IFERROR(IF(I196&lt;&gt;"",I196/H196-1,"-"),"-")</f>
        <v>-</v>
      </c>
      <c r="J197" s="174" t="str">
        <f t="shared" ref="J197" ca="1" si="122">IFERROR(IF(J196&lt;&gt;"",J196/I196-1,"-"),"-")</f>
        <v>-</v>
      </c>
      <c r="K197" s="311"/>
      <c r="L197" s="144"/>
    </row>
    <row r="198" spans="2:16" ht="9.75" hidden="1" customHeight="1">
      <c r="B198" s="15"/>
      <c r="C198" s="15"/>
      <c r="D198" s="15"/>
      <c r="E198" s="15"/>
      <c r="F198" s="15"/>
      <c r="G198" s="15"/>
      <c r="H198" s="15"/>
      <c r="I198" s="15"/>
      <c r="J198" s="15"/>
      <c r="K198" s="15"/>
      <c r="L198" s="15"/>
      <c r="M198" s="15"/>
    </row>
    <row r="199" spans="2:16" ht="24.75" hidden="1">
      <c r="B199" s="178" t="s">
        <v>278</v>
      </c>
      <c r="C199" s="169" t="s">
        <v>253</v>
      </c>
      <c r="D199" s="169" t="s">
        <v>254</v>
      </c>
      <c r="E199" s="169" t="s">
        <v>1534</v>
      </c>
      <c r="F199" s="169" t="s">
        <v>1535</v>
      </c>
      <c r="G199" s="169">
        <v>2021</v>
      </c>
      <c r="H199" s="169">
        <v>2022</v>
      </c>
      <c r="I199" s="169">
        <v>2023</v>
      </c>
      <c r="J199" s="169">
        <v>2024</v>
      </c>
      <c r="K199" s="169" t="s">
        <v>1411</v>
      </c>
    </row>
    <row r="200" spans="2:16" hidden="1">
      <c r="B200" s="170" t="s">
        <v>255</v>
      </c>
      <c r="C200" s="183" t="str">
        <f>IFERROR(INDEX(STATFOR_Data!AR$3:AR$43,MATCH($C189,STATFOR_Data!$AP$3:$AP$43,0))/1000,"-")</f>
        <v>-</v>
      </c>
      <c r="D200" s="183" t="str">
        <f>IFERROR(INDEX(STATFOR_Data!AS$3:AS$43,MATCH($C189,STATFOR_Data!$AP$3:$AP$43,0))/1000,"-")</f>
        <v>-</v>
      </c>
      <c r="E200" s="183" t="str">
        <f>IFERROR(INDEX(STATFOR_Data!AT$3:AT$43,MATCH($C189,STATFOR_Data!$AP$3:$AP$43,0))/1000,"-")</f>
        <v>-</v>
      </c>
      <c r="F200" s="183" t="str">
        <f>IFERROR(INDEX(STATFOR_Data!AU$3:AU$43,MATCH($C189,STATFOR_Data!$AP$3:$AP$43,0))/1000,"-")</f>
        <v>-</v>
      </c>
      <c r="G200" s="179"/>
      <c r="H200" s="179"/>
      <c r="I200" s="179"/>
      <c r="J200" s="179"/>
      <c r="K200" s="175" t="str">
        <f>IFERROR((($J200/$E200)^(1/5)-1),"-")</f>
        <v>-</v>
      </c>
      <c r="L200" s="144"/>
      <c r="M200" s="87"/>
    </row>
    <row r="201" spans="2:16" hidden="1">
      <c r="B201" s="170" t="s">
        <v>986</v>
      </c>
      <c r="C201" s="176"/>
      <c r="D201" s="177" t="str">
        <f>IFERROR(D200/C200-1,"-")</f>
        <v>-</v>
      </c>
      <c r="E201" s="177" t="str">
        <f t="shared" ref="E201:F201" si="123">IFERROR(E200/D200-1,"-")</f>
        <v>-</v>
      </c>
      <c r="F201" s="177" t="str">
        <f t="shared" si="123"/>
        <v>-</v>
      </c>
      <c r="G201" s="180"/>
      <c r="H201" s="180"/>
      <c r="I201" s="180"/>
      <c r="J201" s="180"/>
      <c r="K201" s="176"/>
      <c r="L201" s="144"/>
    </row>
    <row r="202" spans="2:16" hidden="1">
      <c r="B202" s="170" t="s">
        <v>977</v>
      </c>
      <c r="C202" s="183" t="str">
        <f>IFERROR(INDEX(STATFOR_Data!BL$3:BL$43,MATCH($C189,STATFOR_Data!$BJ$3:$BJ$43,0))/1000,"-")</f>
        <v>-</v>
      </c>
      <c r="D202" s="183" t="str">
        <f>IFERROR(INDEX(STATFOR_Data!BM$3:BM$43,MATCH($C189,STATFOR_Data!$BJ$3:$BJ$43,0))/1000,"-")</f>
        <v>-</v>
      </c>
      <c r="E202" s="183" t="str">
        <f>IFERROR(INDEX(STATFOR_Data!BN$3:BN$43,MATCH($C189,STATFOR_Data!$BJ$3:$BJ$43,0))/1000,"-")</f>
        <v>-</v>
      </c>
      <c r="F202" s="183" t="str">
        <f>IFERROR(INDEX(STATFOR_Data!BO$3:BO$43,MATCH($C189,STATFOR_Data!$BJ$3:$BJ$43,0))/1000,"-")</f>
        <v>-</v>
      </c>
      <c r="G202" s="184"/>
      <c r="H202" s="184"/>
      <c r="I202" s="184"/>
      <c r="J202" s="184"/>
      <c r="K202" s="175" t="str">
        <f>IFERROR((($J202/$E202)^(1/5)-1),"-")</f>
        <v>-</v>
      </c>
      <c r="L202" s="144"/>
    </row>
    <row r="203" spans="2:16" hidden="1">
      <c r="B203" s="170" t="s">
        <v>988</v>
      </c>
      <c r="C203" s="173"/>
      <c r="D203" s="174" t="str">
        <f>IFERROR(D202/C202-1,"-")</f>
        <v>-</v>
      </c>
      <c r="E203" s="174" t="str">
        <f t="shared" ref="E203:F203" si="124">IFERROR(E202/D202-1,"-")</f>
        <v>-</v>
      </c>
      <c r="F203" s="174" t="str">
        <f t="shared" si="124"/>
        <v>-</v>
      </c>
      <c r="G203" s="180"/>
      <c r="H203" s="180"/>
      <c r="I203" s="180"/>
      <c r="J203" s="180"/>
      <c r="K203" s="176"/>
      <c r="L203" s="144"/>
    </row>
    <row r="204" spans="2:16" hidden="1">
      <c r="B204" s="307"/>
      <c r="C204" s="307"/>
      <c r="D204" s="307"/>
      <c r="E204" s="307"/>
      <c r="F204" s="307"/>
      <c r="G204" s="307"/>
      <c r="H204" s="307"/>
      <c r="I204" s="307"/>
      <c r="J204" s="307"/>
      <c r="K204" s="307"/>
    </row>
    <row r="205" spans="2:16" customFormat="1" ht="28.5" hidden="1" customHeight="1">
      <c r="B205" s="664" t="s">
        <v>1184</v>
      </c>
      <c r="C205" s="665"/>
      <c r="D205" s="665"/>
      <c r="E205" s="665"/>
      <c r="F205" s="665"/>
      <c r="G205" s="665"/>
      <c r="H205" s="665"/>
      <c r="I205" s="665"/>
      <c r="J205" s="665"/>
      <c r="K205" s="666"/>
      <c r="L205" s="181"/>
    </row>
    <row r="206" spans="2:16" customFormat="1" ht="27" hidden="1" customHeight="1">
      <c r="B206" s="637"/>
      <c r="C206" s="638"/>
      <c r="D206" s="638"/>
      <c r="E206" s="638"/>
      <c r="F206" s="638"/>
      <c r="G206" s="638"/>
      <c r="H206" s="638"/>
      <c r="I206" s="638"/>
      <c r="J206" s="638"/>
      <c r="K206" s="638"/>
      <c r="L206" s="182"/>
    </row>
    <row r="207" spans="2:16" ht="31.5" hidden="1" customHeight="1">
      <c r="B207" s="667" t="s">
        <v>281</v>
      </c>
      <c r="C207" s="667"/>
      <c r="D207" s="667"/>
      <c r="E207" s="667"/>
      <c r="F207" s="667"/>
      <c r="G207" s="667"/>
      <c r="H207" s="667"/>
      <c r="I207" s="667"/>
      <c r="J207" s="667"/>
      <c r="K207" s="667"/>
      <c r="L207"/>
      <c r="M207"/>
      <c r="N207"/>
      <c r="O207"/>
      <c r="P207"/>
    </row>
    <row r="208" spans="2:16" customFormat="1" hidden="1"/>
    <row r="209" spans="1:13" ht="15.75" hidden="1" customHeight="1">
      <c r="B209" s="164" t="s">
        <v>705</v>
      </c>
      <c r="C209" s="668" t="str">
        <f>IF('1.1 The situation'!$C$95="","",'1.1 The situation'!$C$95)</f>
        <v/>
      </c>
      <c r="D209" s="669"/>
      <c r="E209" s="669"/>
      <c r="F209" s="669"/>
      <c r="G209" s="669"/>
      <c r="H209" s="669"/>
      <c r="I209" s="669"/>
      <c r="J209" s="669"/>
      <c r="K209" s="670"/>
      <c r="L209" s="144"/>
    </row>
    <row r="210" spans="1:13" hidden="1">
      <c r="C210" s="165"/>
      <c r="D210" s="166"/>
      <c r="E210" s="166"/>
      <c r="F210" s="166"/>
      <c r="G210" s="166"/>
      <c r="H210" s="166"/>
      <c r="I210" s="166"/>
      <c r="J210" s="166"/>
      <c r="K210" s="166"/>
    </row>
    <row r="211" spans="1:13" ht="15" hidden="1" customHeight="1">
      <c r="A211" s="397">
        <f ca="1">MATCH(C211,OFFSET('Dynamic lists'!$V$5,,,'Dynamic lists'!$W$5),0)-1</f>
        <v>0</v>
      </c>
      <c r="B211" s="15" t="s">
        <v>280</v>
      </c>
      <c r="C211" s="671" t="s">
        <v>412</v>
      </c>
      <c r="D211" s="672"/>
      <c r="E211" s="672"/>
      <c r="F211" s="672"/>
      <c r="G211" s="672"/>
      <c r="H211" s="672"/>
      <c r="I211" s="672"/>
      <c r="J211" s="672"/>
      <c r="K211" s="672"/>
      <c r="L211" s="144"/>
      <c r="M211" s="38"/>
    </row>
    <row r="212" spans="1:13" ht="9.75" hidden="1" customHeight="1">
      <c r="B212" s="15"/>
      <c r="C212" s="160"/>
      <c r="D212" s="160"/>
      <c r="E212" s="160"/>
      <c r="F212" s="160"/>
      <c r="G212" s="160"/>
      <c r="H212" s="160"/>
      <c r="I212" s="160"/>
      <c r="J212" s="160"/>
      <c r="K212" s="160"/>
      <c r="L212" s="15"/>
      <c r="M212" s="15"/>
    </row>
    <row r="213" spans="1:13" ht="24.75" hidden="1">
      <c r="B213" s="167" t="str">
        <f>IF($C211="Select traffic forecast","",$C211)</f>
        <v/>
      </c>
      <c r="C213" s="169" t="s">
        <v>253</v>
      </c>
      <c r="D213" s="169" t="s">
        <v>254</v>
      </c>
      <c r="E213" s="169" t="s">
        <v>1534</v>
      </c>
      <c r="F213" s="169" t="s">
        <v>1535</v>
      </c>
      <c r="G213" s="169">
        <v>2021</v>
      </c>
      <c r="H213" s="169">
        <v>2022</v>
      </c>
      <c r="I213" s="169">
        <v>2023</v>
      </c>
      <c r="J213" s="169">
        <v>2024</v>
      </c>
      <c r="K213" s="169" t="s">
        <v>1411</v>
      </c>
    </row>
    <row r="214" spans="1:13" hidden="1">
      <c r="B214" s="170" t="s">
        <v>255</v>
      </c>
      <c r="C214" s="183" t="str">
        <f>IFERROR(INDEX(STATFOR_Data!AR$3:AR$43,MATCH($C209,STATFOR_Data!$AP$3:$AP$43,0))/1000,"-")</f>
        <v>-</v>
      </c>
      <c r="D214" s="183" t="str">
        <f>IFERROR(INDEX(STATFOR_Data!AS$3:AS$43,MATCH($C209,STATFOR_Data!$AP$3:$AP$43,0))/1000,"-")</f>
        <v>-</v>
      </c>
      <c r="E214" s="183" t="str">
        <f>IFERROR(INDEX(STATFOR_Data!AT$3:AT$43,MATCH($C209,STATFOR_Data!$AP$3:$AP$43,0))/1000,"-")</f>
        <v>-</v>
      </c>
      <c r="F214" s="183" t="str">
        <f>IFERROR(INDEX(STATFOR_Data!AU$3:AU$43,MATCH($C209,STATFOR_Data!$AP$3:$AP$43,0))/1000,"-")</f>
        <v>-</v>
      </c>
      <c r="G214" s="183" t="str">
        <f ca="1">IFERROR(INDEX(INDIRECT("Table_STATF_"&amp;MID($C$211,SEARCH("forecast",$C$211)+9,3)&amp;"21_TRM_MVT["&amp;G$213&amp;"B]"),MATCH($C$209,INDIRECT("Table_STATF_"&amp;MID($C$211,SEARCH("forecast",$C$211)+9,3)&amp;"21_TRM_MVT[TCZ_Name]"),0))/1000,"-")</f>
        <v>-</v>
      </c>
      <c r="H214" s="183" t="str">
        <f t="shared" ref="H214:J214" ca="1" si="125">IFERROR(INDEX(INDIRECT("Table_STATF_"&amp;MID($C$211,SEARCH("forecast",$C$211)+9,3)&amp;"21_TRM_MVT["&amp;H$213&amp;"B]"),MATCH($C$209,INDIRECT("Table_STATF_"&amp;MID($C$211,SEARCH("forecast",$C$211)+9,3)&amp;"21_TRM_MVT[TCZ_Name]"),0))/1000,"-")</f>
        <v>-</v>
      </c>
      <c r="I214" s="183" t="str">
        <f t="shared" ca="1" si="125"/>
        <v>-</v>
      </c>
      <c r="J214" s="183" t="str">
        <f t="shared" ca="1" si="125"/>
        <v>-</v>
      </c>
      <c r="K214" s="175" t="str">
        <f ca="1">IFERROR((($J214/$E214)^(1/5)-1),"-")</f>
        <v>-</v>
      </c>
      <c r="L214" s="144"/>
    </row>
    <row r="215" spans="1:13" hidden="1">
      <c r="B215" s="170" t="s">
        <v>986</v>
      </c>
      <c r="C215" s="176"/>
      <c r="D215" s="177" t="str">
        <f>IFERROR(D214/C214-1,"-")</f>
        <v>-</v>
      </c>
      <c r="E215" s="177" t="str">
        <f t="shared" ref="E215:F215" si="126">IFERROR(E214/D214-1,"-")</f>
        <v>-</v>
      </c>
      <c r="F215" s="177" t="str">
        <f t="shared" si="126"/>
        <v>-</v>
      </c>
      <c r="G215" s="177" t="str">
        <f t="shared" ref="G215" ca="1" si="127">IFERROR(IF(G214&lt;&gt;"",G214/F214-1,"-"),"-")</f>
        <v>-</v>
      </c>
      <c r="H215" s="177" t="str">
        <f t="shared" ref="H215" ca="1" si="128">IFERROR(IF(H214&lt;&gt;"",H214/G214-1,"-"),"-")</f>
        <v>-</v>
      </c>
      <c r="I215" s="177" t="str">
        <f t="shared" ref="I215" ca="1" si="129">IFERROR(IF(I214&lt;&gt;"",I214/H214-1,"-"),"-")</f>
        <v>-</v>
      </c>
      <c r="J215" s="177" t="str">
        <f t="shared" ref="J215" ca="1" si="130">IFERROR(IF(J214&lt;&gt;"",J214/I214-1,"-"),"-")</f>
        <v>-</v>
      </c>
      <c r="K215" s="308"/>
      <c r="L215" s="144"/>
    </row>
    <row r="216" spans="1:13" hidden="1">
      <c r="B216" s="170" t="s">
        <v>977</v>
      </c>
      <c r="C216" s="183" t="str">
        <f>IFERROR(INDEX(STATFOR_Data!BL$3:BL$43,MATCH($C209,STATFOR_Data!$BJ$3:$BJ$43,0))/1000,"-")</f>
        <v>-</v>
      </c>
      <c r="D216" s="183" t="str">
        <f>IFERROR(INDEX(STATFOR_Data!BM$3:BM$43,MATCH($C209,STATFOR_Data!$BJ$3:$BJ$43,0))/1000,"-")</f>
        <v>-</v>
      </c>
      <c r="E216" s="183" t="str">
        <f>IFERROR(INDEX(STATFOR_Data!BN$3:BN$43,MATCH($C209,STATFOR_Data!$BJ$3:$BJ$43,0))/1000,"-")</f>
        <v>-</v>
      </c>
      <c r="F216" s="183" t="str">
        <f>IFERROR(INDEX(STATFOR_Data!BO$3:BO$43,MATCH($C209,STATFOR_Data!$BJ$3:$BJ$43,0))/1000,"-")</f>
        <v>-</v>
      </c>
      <c r="G216" s="183" t="str">
        <f ca="1">IFERROR(INDEX(INDIRECT("Table_STATF_"&amp;MID($C$211,SEARCH("forecast",$C$211)+9,3)&amp;"21_TRM_su["&amp;G$213&amp;"B]"),MATCH($C$209,INDIRECT("Table_STATF_"&amp;MID($C$211,SEARCH("forecast",$C$211)+9,3)&amp;"21_TRM_SU[TCZ_Name]"),0))/1000,"-")</f>
        <v>-</v>
      </c>
      <c r="H216" s="183" t="str">
        <f ca="1">IFERROR(INDEX(INDIRECT("Table_STATF_"&amp;MID($C$211,SEARCH("forecast",$C$211)+9,3)&amp;"21_TRM_su["&amp;H$213&amp;"B]"),MATCH($C$209,INDIRECT("Table_STATF_"&amp;MID($C$211,SEARCH("forecast",$C$211)+9,3)&amp;"21_TRM_SU[TCZ_Name]"),0))/1000,"-")</f>
        <v>-</v>
      </c>
      <c r="I216" s="183" t="str">
        <f ca="1">IFERROR(INDEX(INDIRECT("Table_STATF_"&amp;MID($C$211,SEARCH("forecast",$C$211)+9,3)&amp;"21_TRM_su["&amp;I$213&amp;"B]"),MATCH($C$209,INDIRECT("Table_STATF_"&amp;MID($C$211,SEARCH("forecast",$C$211)+9,3)&amp;"21_TRM_SU[TCZ_Name]"),0))/1000,"-")</f>
        <v>-</v>
      </c>
      <c r="J216" s="183" t="str">
        <f ca="1">IFERROR(INDEX(INDIRECT("Table_STATF_"&amp;MID($C$211,SEARCH("forecast",$C$211)+9,3)&amp;"21_TRM_su["&amp;J$213&amp;"B]"),MATCH($C$209,INDIRECT("Table_STATF_"&amp;MID($C$211,SEARCH("forecast",$C$211)+9,3)&amp;"21_TRM_SU[TCZ_Name]"),0))/1000,"-")</f>
        <v>-</v>
      </c>
      <c r="K216" s="175" t="str">
        <f ca="1">IFERROR((($J216/$E216)^(1/5)-1),"-")</f>
        <v>-</v>
      </c>
      <c r="L216" s="144"/>
    </row>
    <row r="217" spans="1:13" hidden="1">
      <c r="B217" s="168" t="s">
        <v>988</v>
      </c>
      <c r="C217" s="173"/>
      <c r="D217" s="174" t="str">
        <f>IFERROR(D216/C216-1,"-")</f>
        <v>-</v>
      </c>
      <c r="E217" s="174" t="str">
        <f t="shared" ref="E217:F217" si="131">IFERROR(E216/D216-1,"-")</f>
        <v>-</v>
      </c>
      <c r="F217" s="174" t="str">
        <f t="shared" si="131"/>
        <v>-</v>
      </c>
      <c r="G217" s="174" t="str">
        <f t="shared" ref="G217" ca="1" si="132">IFERROR(IF(G216&lt;&gt;"",G216/F216-1,"-"),"-")</f>
        <v>-</v>
      </c>
      <c r="H217" s="174" t="str">
        <f t="shared" ref="H217" ca="1" si="133">IFERROR(IF(H216&lt;&gt;"",H216/G216-1,"-"),"-")</f>
        <v>-</v>
      </c>
      <c r="I217" s="174" t="str">
        <f t="shared" ref="I217" ca="1" si="134">IFERROR(IF(I216&lt;&gt;"",I216/H216-1,"-"),"-")</f>
        <v>-</v>
      </c>
      <c r="J217" s="174" t="str">
        <f t="shared" ref="J217" ca="1" si="135">IFERROR(IF(J216&lt;&gt;"",J216/I216-1,"-"),"-")</f>
        <v>-</v>
      </c>
      <c r="K217" s="311"/>
      <c r="L217" s="144"/>
    </row>
    <row r="218" spans="1:13" ht="9.75" hidden="1" customHeight="1">
      <c r="B218" s="15"/>
      <c r="C218" s="15"/>
      <c r="D218" s="15"/>
      <c r="E218" s="15"/>
      <c r="F218" s="15"/>
      <c r="G218" s="15"/>
      <c r="H218" s="15"/>
      <c r="I218" s="15"/>
      <c r="J218" s="15"/>
      <c r="K218" s="15"/>
      <c r="L218" s="15"/>
      <c r="M218" s="15"/>
    </row>
    <row r="219" spans="1:13" ht="24.75" hidden="1">
      <c r="B219" s="178" t="s">
        <v>278</v>
      </c>
      <c r="C219" s="169" t="s">
        <v>253</v>
      </c>
      <c r="D219" s="169" t="s">
        <v>254</v>
      </c>
      <c r="E219" s="169" t="s">
        <v>1534</v>
      </c>
      <c r="F219" s="169" t="s">
        <v>1535</v>
      </c>
      <c r="G219" s="169">
        <v>2021</v>
      </c>
      <c r="H219" s="169">
        <v>2022</v>
      </c>
      <c r="I219" s="169">
        <v>2023</v>
      </c>
      <c r="J219" s="169">
        <v>2024</v>
      </c>
      <c r="K219" s="169" t="s">
        <v>1411</v>
      </c>
    </row>
    <row r="220" spans="1:13" hidden="1">
      <c r="B220" s="170" t="s">
        <v>255</v>
      </c>
      <c r="C220" s="183" t="str">
        <f>IFERROR(INDEX(STATFOR_Data!AR$3:AR$43,MATCH($C209,STATFOR_Data!$AP$3:$AP$43,0))/1000,"-")</f>
        <v>-</v>
      </c>
      <c r="D220" s="183" t="str">
        <f>IFERROR(INDEX(STATFOR_Data!AS$3:AS$43,MATCH($C209,STATFOR_Data!$AP$3:$AP$43,0))/1000,"-")</f>
        <v>-</v>
      </c>
      <c r="E220" s="183" t="str">
        <f>IFERROR(INDEX(STATFOR_Data!AT$3:AT$43,MATCH($C209,STATFOR_Data!$AP$3:$AP$43,0))/1000,"-")</f>
        <v>-</v>
      </c>
      <c r="F220" s="183" t="str">
        <f>IFERROR(INDEX(STATFOR_Data!AU$3:AU$43,MATCH($C209,STATFOR_Data!$AP$3:$AP$43,0))/1000,"-")</f>
        <v>-</v>
      </c>
      <c r="G220" s="179"/>
      <c r="H220" s="179"/>
      <c r="I220" s="179"/>
      <c r="J220" s="179"/>
      <c r="K220" s="175" t="str">
        <f>IFERROR((($J220/$E220)^(1/5)-1),"-")</f>
        <v>-</v>
      </c>
      <c r="L220" s="144"/>
      <c r="M220" s="87"/>
    </row>
    <row r="221" spans="1:13" hidden="1">
      <c r="B221" s="170" t="s">
        <v>986</v>
      </c>
      <c r="C221" s="176"/>
      <c r="D221" s="177" t="str">
        <f>IFERROR(D220/C220-1,"-")</f>
        <v>-</v>
      </c>
      <c r="E221" s="177" t="str">
        <f t="shared" ref="E221:F221" si="136">IFERROR(E220/D220-1,"-")</f>
        <v>-</v>
      </c>
      <c r="F221" s="177" t="str">
        <f t="shared" si="136"/>
        <v>-</v>
      </c>
      <c r="G221" s="180"/>
      <c r="H221" s="180"/>
      <c r="I221" s="180"/>
      <c r="J221" s="180"/>
      <c r="K221" s="176"/>
      <c r="L221" s="144"/>
    </row>
    <row r="222" spans="1:13" hidden="1">
      <c r="B222" s="170" t="s">
        <v>977</v>
      </c>
      <c r="C222" s="183" t="str">
        <f>IFERROR(INDEX(STATFOR_Data!BL$3:BL$43,MATCH($C209,STATFOR_Data!$BJ$3:$BJ$43,0))/1000,"-")</f>
        <v>-</v>
      </c>
      <c r="D222" s="183" t="str">
        <f>IFERROR(INDEX(STATFOR_Data!BM$3:BM$43,MATCH($C209,STATFOR_Data!$BJ$3:$BJ$43,0))/1000,"-")</f>
        <v>-</v>
      </c>
      <c r="E222" s="183" t="str">
        <f>IFERROR(INDEX(STATFOR_Data!BN$3:BN$43,MATCH($C209,STATFOR_Data!$BJ$3:$BJ$43,0))/1000,"-")</f>
        <v>-</v>
      </c>
      <c r="F222" s="183" t="str">
        <f>IFERROR(INDEX(STATFOR_Data!BO$3:BO$43,MATCH($C209,STATFOR_Data!$BJ$3:$BJ$43,0))/1000,"-")</f>
        <v>-</v>
      </c>
      <c r="G222" s="184"/>
      <c r="H222" s="184"/>
      <c r="I222" s="184"/>
      <c r="J222" s="184"/>
      <c r="K222" s="175" t="str">
        <f>IFERROR((($J222/$E222)^(1/5)-1),"-")</f>
        <v>-</v>
      </c>
      <c r="L222" s="144"/>
    </row>
    <row r="223" spans="1:13" hidden="1">
      <c r="B223" s="170" t="s">
        <v>988</v>
      </c>
      <c r="C223" s="173"/>
      <c r="D223" s="174" t="str">
        <f>IFERROR(D222/C222-1,"-")</f>
        <v>-</v>
      </c>
      <c r="E223" s="174" t="str">
        <f t="shared" ref="E223:F223" si="137">IFERROR(E222/D222-1,"-")</f>
        <v>-</v>
      </c>
      <c r="F223" s="174" t="str">
        <f t="shared" si="137"/>
        <v>-</v>
      </c>
      <c r="G223" s="180"/>
      <c r="H223" s="180"/>
      <c r="I223" s="180"/>
      <c r="J223" s="180"/>
      <c r="K223" s="176"/>
      <c r="L223" s="144"/>
    </row>
    <row r="224" spans="1:13" hidden="1">
      <c r="B224" s="307"/>
      <c r="C224" s="307"/>
      <c r="D224" s="307"/>
      <c r="E224" s="307"/>
      <c r="F224" s="307"/>
      <c r="G224" s="307"/>
      <c r="H224" s="307"/>
      <c r="I224" s="307"/>
      <c r="J224" s="307"/>
      <c r="K224" s="307"/>
    </row>
    <row r="225" spans="1:16" customFormat="1" ht="28.5" hidden="1" customHeight="1">
      <c r="B225" s="664" t="s">
        <v>1184</v>
      </c>
      <c r="C225" s="665"/>
      <c r="D225" s="665"/>
      <c r="E225" s="665"/>
      <c r="F225" s="665"/>
      <c r="G225" s="665"/>
      <c r="H225" s="665"/>
      <c r="I225" s="665"/>
      <c r="J225" s="665"/>
      <c r="K225" s="666"/>
      <c r="L225" s="181"/>
    </row>
    <row r="226" spans="1:16" customFormat="1" ht="27" hidden="1" customHeight="1">
      <c r="B226" s="637"/>
      <c r="C226" s="638"/>
      <c r="D226" s="638"/>
      <c r="E226" s="638"/>
      <c r="F226" s="638"/>
      <c r="G226" s="638"/>
      <c r="H226" s="638"/>
      <c r="I226" s="638"/>
      <c r="J226" s="638"/>
      <c r="K226" s="638"/>
      <c r="L226" s="182"/>
    </row>
    <row r="227" spans="1:16" ht="31.5" hidden="1" customHeight="1">
      <c r="B227" s="667" t="s">
        <v>281</v>
      </c>
      <c r="C227" s="667"/>
      <c r="D227" s="667"/>
      <c r="E227" s="667"/>
      <c r="F227" s="667"/>
      <c r="G227" s="667"/>
      <c r="H227" s="667"/>
      <c r="I227" s="667"/>
      <c r="J227" s="667"/>
      <c r="K227" s="667"/>
      <c r="L227"/>
      <c r="M227"/>
      <c r="N227"/>
      <c r="O227"/>
      <c r="P227"/>
    </row>
    <row r="228" spans="1:16" customFormat="1" hidden="1"/>
    <row r="229" spans="1:16" ht="15.75" hidden="1" customHeight="1">
      <c r="B229" s="164" t="s">
        <v>706</v>
      </c>
      <c r="C229" s="668" t="str">
        <f>IF('1.1 The situation'!$C$96="","",'1.1 The situation'!$C$96)</f>
        <v/>
      </c>
      <c r="D229" s="669"/>
      <c r="E229" s="669"/>
      <c r="F229" s="669"/>
      <c r="G229" s="669"/>
      <c r="H229" s="669"/>
      <c r="I229" s="669"/>
      <c r="J229" s="669"/>
      <c r="K229" s="670"/>
      <c r="L229" s="144"/>
    </row>
    <row r="230" spans="1:16" hidden="1">
      <c r="C230" s="165"/>
      <c r="D230" s="166"/>
      <c r="E230" s="166"/>
      <c r="F230" s="166"/>
      <c r="G230" s="166"/>
      <c r="H230" s="166"/>
      <c r="I230" s="166"/>
      <c r="J230" s="166"/>
      <c r="K230" s="166"/>
    </row>
    <row r="231" spans="1:16" ht="15" hidden="1" customHeight="1">
      <c r="A231" s="397">
        <f ca="1">MATCH(C231,OFFSET('Dynamic lists'!$V$5,,,'Dynamic lists'!$W$5),0)-1</f>
        <v>0</v>
      </c>
      <c r="B231" s="15" t="s">
        <v>280</v>
      </c>
      <c r="C231" s="671" t="s">
        <v>412</v>
      </c>
      <c r="D231" s="672"/>
      <c r="E231" s="672"/>
      <c r="F231" s="672"/>
      <c r="G231" s="672"/>
      <c r="H231" s="672"/>
      <c r="I231" s="672"/>
      <c r="J231" s="672"/>
      <c r="K231" s="672"/>
      <c r="L231" s="144"/>
      <c r="M231" s="38"/>
    </row>
    <row r="232" spans="1:16" ht="9.75" hidden="1" customHeight="1">
      <c r="B232" s="15"/>
      <c r="C232" s="160"/>
      <c r="D232" s="160"/>
      <c r="E232" s="160"/>
      <c r="F232" s="160"/>
      <c r="G232" s="160"/>
      <c r="H232" s="160"/>
      <c r="I232" s="160"/>
      <c r="J232" s="160"/>
      <c r="K232" s="160"/>
      <c r="L232" s="15"/>
      <c r="M232" s="15"/>
    </row>
    <row r="233" spans="1:16" ht="24.75" hidden="1">
      <c r="B233" s="167" t="str">
        <f>IF($C231="Select traffic forecast","",$C231)</f>
        <v/>
      </c>
      <c r="C233" s="169" t="s">
        <v>253</v>
      </c>
      <c r="D233" s="169" t="s">
        <v>254</v>
      </c>
      <c r="E233" s="169" t="s">
        <v>1534</v>
      </c>
      <c r="F233" s="169" t="s">
        <v>1535</v>
      </c>
      <c r="G233" s="169">
        <v>2021</v>
      </c>
      <c r="H233" s="169">
        <v>2022</v>
      </c>
      <c r="I233" s="169">
        <v>2023</v>
      </c>
      <c r="J233" s="169">
        <v>2024</v>
      </c>
      <c r="K233" s="169" t="s">
        <v>1411</v>
      </c>
    </row>
    <row r="234" spans="1:16" hidden="1">
      <c r="B234" s="170" t="s">
        <v>255</v>
      </c>
      <c r="C234" s="183" t="str">
        <f>IFERROR(INDEX(STATFOR_Data!AR$3:AR$43,MATCH($C229,STATFOR_Data!$AP$3:$AP$43,0))/1000,"-")</f>
        <v>-</v>
      </c>
      <c r="D234" s="183" t="str">
        <f>IFERROR(INDEX(STATFOR_Data!AS$3:AS$43,MATCH($C229,STATFOR_Data!$AP$3:$AP$43,0))/1000,"-")</f>
        <v>-</v>
      </c>
      <c r="E234" s="183" t="str">
        <f>IFERROR(INDEX(STATFOR_Data!AT$3:AT$43,MATCH($C229,STATFOR_Data!$AP$3:$AP$43,0))/1000,"-")</f>
        <v>-</v>
      </c>
      <c r="F234" s="183" t="str">
        <f>IFERROR(INDEX(STATFOR_Data!AU$3:AU$43,MATCH($C229,STATFOR_Data!$AP$3:$AP$43,0))/1000,"-")</f>
        <v>-</v>
      </c>
      <c r="G234" s="183" t="str">
        <f ca="1">IFERROR(INDEX(INDIRECT("Table_STATF_"&amp;MID($C$231,SEARCH("forecast",$C$231)+9,3)&amp;"21_TRM_MVT["&amp;G$233&amp;"B]"),MATCH($C$229,INDIRECT("Table_STATF_"&amp;MID($C$231,SEARCH("forecast",$C$231)+9,3)&amp;"21_TRM_MVT[TCZ_Name]"),0))/1000,"-")</f>
        <v>-</v>
      </c>
      <c r="H234" s="183" t="str">
        <f t="shared" ref="H234:J234" ca="1" si="138">IFERROR(INDEX(INDIRECT("Table_STATF_"&amp;MID($C$231,SEARCH("forecast",$C$231)+9,3)&amp;"21_TRM_MVT["&amp;H$233&amp;"B]"),MATCH($C$229,INDIRECT("Table_STATF_"&amp;MID($C$231,SEARCH("forecast",$C$231)+9,3)&amp;"21_TRM_MVT[TCZ_Name]"),0))/1000,"-")</f>
        <v>-</v>
      </c>
      <c r="I234" s="183" t="str">
        <f t="shared" ca="1" si="138"/>
        <v>-</v>
      </c>
      <c r="J234" s="183" t="str">
        <f t="shared" ca="1" si="138"/>
        <v>-</v>
      </c>
      <c r="K234" s="175" t="str">
        <f ca="1">IFERROR((($J234/$E234)^(1/5)-1),"-")</f>
        <v>-</v>
      </c>
      <c r="L234" s="144"/>
    </row>
    <row r="235" spans="1:16" hidden="1">
      <c r="B235" s="170" t="s">
        <v>986</v>
      </c>
      <c r="C235" s="176"/>
      <c r="D235" s="177" t="str">
        <f>IFERROR(D234/C234-1,"-")</f>
        <v>-</v>
      </c>
      <c r="E235" s="177" t="str">
        <f t="shared" ref="E235:F235" si="139">IFERROR(E234/D234-1,"-")</f>
        <v>-</v>
      </c>
      <c r="F235" s="177" t="str">
        <f t="shared" si="139"/>
        <v>-</v>
      </c>
      <c r="G235" s="177" t="str">
        <f t="shared" ref="G235" ca="1" si="140">IFERROR(IF(G234&lt;&gt;"",G234/F234-1,"-"),"-")</f>
        <v>-</v>
      </c>
      <c r="H235" s="177" t="str">
        <f t="shared" ref="H235" ca="1" si="141">IFERROR(IF(H234&lt;&gt;"",H234/G234-1,"-"),"-")</f>
        <v>-</v>
      </c>
      <c r="I235" s="177" t="str">
        <f t="shared" ref="I235" ca="1" si="142">IFERROR(IF(I234&lt;&gt;"",I234/H234-1,"-"),"-")</f>
        <v>-</v>
      </c>
      <c r="J235" s="177" t="str">
        <f t="shared" ref="J235" ca="1" si="143">IFERROR(IF(J234&lt;&gt;"",J234/I234-1,"-"),"-")</f>
        <v>-</v>
      </c>
      <c r="K235" s="308"/>
      <c r="L235" s="144"/>
    </row>
    <row r="236" spans="1:16" hidden="1">
      <c r="B236" s="170" t="s">
        <v>977</v>
      </c>
      <c r="C236" s="183" t="str">
        <f>IFERROR(INDEX(STATFOR_Data!BL$3:BL$43,MATCH($C229,STATFOR_Data!$BJ$3:$BJ$43,0))/1000,"-")</f>
        <v>-</v>
      </c>
      <c r="D236" s="183" t="str">
        <f>IFERROR(INDEX(STATFOR_Data!BM$3:BM$43,MATCH($C229,STATFOR_Data!$BJ$3:$BJ$43,0))/1000,"-")</f>
        <v>-</v>
      </c>
      <c r="E236" s="183" t="str">
        <f>IFERROR(INDEX(STATFOR_Data!BN$3:BN$43,MATCH($C229,STATFOR_Data!$BJ$3:$BJ$43,0))/1000,"-")</f>
        <v>-</v>
      </c>
      <c r="F236" s="183" t="str">
        <f>IFERROR(INDEX(STATFOR_Data!BO$3:BO$43,MATCH($C229,STATFOR_Data!$BJ$3:$BJ$43,0))/1000,"-")</f>
        <v>-</v>
      </c>
      <c r="G236" s="183" t="str">
        <f ca="1">IFERROR(INDEX(INDIRECT("Table_STATF_"&amp;MID($C$231,SEARCH("forecast",$C$231)+9,3)&amp;"21_TRM_su["&amp;G$233&amp;"B]"),MATCH($C$229,INDIRECT("Table_STATF_"&amp;MID($C$231,SEARCH("forecast",$C$231)+9,3)&amp;"21_TRM_SU[TCZ_Name]"),0))/1000,"-")</f>
        <v>-</v>
      </c>
      <c r="H236" s="183" t="str">
        <f ca="1">IFERROR(INDEX(INDIRECT("Table_STATF_"&amp;MID($C$231,SEARCH("forecast",$C$231)+9,3)&amp;"21_TRM_su["&amp;H$233&amp;"B]"),MATCH($C$229,INDIRECT("Table_STATF_"&amp;MID($C$231,SEARCH("forecast",$C$231)+9,3)&amp;"21_TRM_SU[TCZ_Name]"),0))/1000,"-")</f>
        <v>-</v>
      </c>
      <c r="I236" s="183" t="str">
        <f ca="1">IFERROR(INDEX(INDIRECT("Table_STATF_"&amp;MID($C$231,SEARCH("forecast",$C$231)+9,3)&amp;"21_TRM_su["&amp;I$233&amp;"B]"),MATCH($C$229,INDIRECT("Table_STATF_"&amp;MID($C$231,SEARCH("forecast",$C$231)+9,3)&amp;"21_TRM_SU[TCZ_Name]"),0))/1000,"-")</f>
        <v>-</v>
      </c>
      <c r="J236" s="183" t="str">
        <f ca="1">IFERROR(INDEX(INDIRECT("Table_STATF_"&amp;MID($C$231,SEARCH("forecast",$C$231)+9,3)&amp;"21_TRM_su["&amp;J$233&amp;"B]"),MATCH($C$229,INDIRECT("Table_STATF_"&amp;MID($C$231,SEARCH("forecast",$C$231)+9,3)&amp;"21_TRM_SU[TCZ_Name]"),0))/1000,"-")</f>
        <v>-</v>
      </c>
      <c r="K236" s="175" t="str">
        <f ca="1">IFERROR((($J236/$E236)^(1/5)-1),"-")</f>
        <v>-</v>
      </c>
      <c r="L236" s="144"/>
    </row>
    <row r="237" spans="1:16" hidden="1">
      <c r="B237" s="168" t="s">
        <v>988</v>
      </c>
      <c r="C237" s="173"/>
      <c r="D237" s="174" t="str">
        <f>IFERROR(D236/C236-1,"-")</f>
        <v>-</v>
      </c>
      <c r="E237" s="174" t="str">
        <f t="shared" ref="E237:F237" si="144">IFERROR(E236/D236-1,"-")</f>
        <v>-</v>
      </c>
      <c r="F237" s="174" t="str">
        <f t="shared" si="144"/>
        <v>-</v>
      </c>
      <c r="G237" s="174" t="str">
        <f t="shared" ref="G237" ca="1" si="145">IFERROR(IF(G236&lt;&gt;"",G236/F236-1,"-"),"-")</f>
        <v>-</v>
      </c>
      <c r="H237" s="174" t="str">
        <f t="shared" ref="H237" ca="1" si="146">IFERROR(IF(H236&lt;&gt;"",H236/G236-1,"-"),"-")</f>
        <v>-</v>
      </c>
      <c r="I237" s="174" t="str">
        <f t="shared" ref="I237" ca="1" si="147">IFERROR(IF(I236&lt;&gt;"",I236/H236-1,"-"),"-")</f>
        <v>-</v>
      </c>
      <c r="J237" s="174" t="str">
        <f t="shared" ref="J237" ca="1" si="148">IFERROR(IF(J236&lt;&gt;"",J236/I236-1,"-"),"-")</f>
        <v>-</v>
      </c>
      <c r="K237" s="311"/>
      <c r="L237" s="144"/>
    </row>
    <row r="238" spans="1:16" ht="9.75" hidden="1" customHeight="1">
      <c r="B238" s="15"/>
      <c r="C238" s="15"/>
      <c r="D238" s="15"/>
      <c r="E238" s="15"/>
      <c r="F238" s="15"/>
      <c r="G238" s="15"/>
      <c r="H238" s="15"/>
      <c r="I238" s="15"/>
      <c r="J238" s="15"/>
      <c r="K238" s="15"/>
      <c r="L238" s="15"/>
      <c r="M238" s="15"/>
    </row>
    <row r="239" spans="1:16" ht="24.75" hidden="1">
      <c r="B239" s="178" t="s">
        <v>278</v>
      </c>
      <c r="C239" s="169" t="s">
        <v>253</v>
      </c>
      <c r="D239" s="169" t="s">
        <v>254</v>
      </c>
      <c r="E239" s="169" t="s">
        <v>1534</v>
      </c>
      <c r="F239" s="169" t="s">
        <v>1535</v>
      </c>
      <c r="G239" s="169">
        <v>2021</v>
      </c>
      <c r="H239" s="169">
        <v>2022</v>
      </c>
      <c r="I239" s="169">
        <v>2023</v>
      </c>
      <c r="J239" s="169">
        <v>2024</v>
      </c>
      <c r="K239" s="169" t="s">
        <v>1411</v>
      </c>
    </row>
    <row r="240" spans="1:16" hidden="1">
      <c r="B240" s="170" t="s">
        <v>255</v>
      </c>
      <c r="C240" s="183" t="str">
        <f>IFERROR(INDEX(STATFOR_Data!AR$3:AR$43,MATCH($C229,STATFOR_Data!$AP$3:$AP$43,0))/1000,"-")</f>
        <v>-</v>
      </c>
      <c r="D240" s="183" t="str">
        <f>IFERROR(INDEX(STATFOR_Data!AS$3:AS$43,MATCH($C229,STATFOR_Data!$AP$3:$AP$43,0))/1000,"-")</f>
        <v>-</v>
      </c>
      <c r="E240" s="183" t="str">
        <f>IFERROR(INDEX(STATFOR_Data!AT$3:AT$43,MATCH($C229,STATFOR_Data!$AP$3:$AP$43,0))/1000,"-")</f>
        <v>-</v>
      </c>
      <c r="F240" s="183" t="str">
        <f>IFERROR(INDEX(STATFOR_Data!AU$3:AU$43,MATCH($C229,STATFOR_Data!$AP$3:$AP$43,0))/1000,"-")</f>
        <v>-</v>
      </c>
      <c r="G240" s="179"/>
      <c r="H240" s="179"/>
      <c r="I240" s="179"/>
      <c r="J240" s="179"/>
      <c r="K240" s="175" t="str">
        <f>IFERROR((($J240/$E240)^(1/5)-1),"-")</f>
        <v>-</v>
      </c>
      <c r="L240" s="144"/>
      <c r="M240" s="87"/>
    </row>
    <row r="241" spans="1:16" hidden="1">
      <c r="B241" s="170" t="s">
        <v>986</v>
      </c>
      <c r="C241" s="176"/>
      <c r="D241" s="177" t="str">
        <f>IFERROR(D240/C240-1,"-")</f>
        <v>-</v>
      </c>
      <c r="E241" s="177" t="str">
        <f t="shared" ref="E241:F241" si="149">IFERROR(E240/D240-1,"-")</f>
        <v>-</v>
      </c>
      <c r="F241" s="177" t="str">
        <f t="shared" si="149"/>
        <v>-</v>
      </c>
      <c r="G241" s="180"/>
      <c r="H241" s="180"/>
      <c r="I241" s="180"/>
      <c r="J241" s="180"/>
      <c r="K241" s="176"/>
      <c r="L241" s="144"/>
    </row>
    <row r="242" spans="1:16" hidden="1">
      <c r="B242" s="170" t="s">
        <v>977</v>
      </c>
      <c r="C242" s="183" t="str">
        <f>IFERROR(INDEX(STATFOR_Data!BL$3:BL$43,MATCH($C229,STATFOR_Data!$BJ$3:$BJ$43,0))/1000,"-")</f>
        <v>-</v>
      </c>
      <c r="D242" s="183" t="str">
        <f>IFERROR(INDEX(STATFOR_Data!BM$3:BM$43,MATCH($C229,STATFOR_Data!$BJ$3:$BJ$43,0))/1000,"-")</f>
        <v>-</v>
      </c>
      <c r="E242" s="183" t="str">
        <f>IFERROR(INDEX(STATFOR_Data!BN$3:BN$43,MATCH($C229,STATFOR_Data!$BJ$3:$BJ$43,0))/1000,"-")</f>
        <v>-</v>
      </c>
      <c r="F242" s="183" t="str">
        <f>IFERROR(INDEX(STATFOR_Data!BO$3:BO$43,MATCH($C229,STATFOR_Data!$BJ$3:$BJ$43,0))/1000,"-")</f>
        <v>-</v>
      </c>
      <c r="G242" s="184"/>
      <c r="H242" s="184"/>
      <c r="I242" s="184"/>
      <c r="J242" s="184"/>
      <c r="K242" s="175" t="str">
        <f>IFERROR((($J242/$E242)^(1/5)-1),"-")</f>
        <v>-</v>
      </c>
      <c r="L242" s="144"/>
    </row>
    <row r="243" spans="1:16" hidden="1">
      <c r="B243" s="170" t="s">
        <v>988</v>
      </c>
      <c r="C243" s="173"/>
      <c r="D243" s="174" t="str">
        <f>IFERROR(D242/C242-1,"-")</f>
        <v>-</v>
      </c>
      <c r="E243" s="174" t="str">
        <f t="shared" ref="E243:F243" si="150">IFERROR(E242/D242-1,"-")</f>
        <v>-</v>
      </c>
      <c r="F243" s="174" t="str">
        <f t="shared" si="150"/>
        <v>-</v>
      </c>
      <c r="G243" s="180"/>
      <c r="H243" s="180"/>
      <c r="I243" s="180"/>
      <c r="J243" s="180"/>
      <c r="K243" s="176"/>
      <c r="L243" s="144"/>
    </row>
    <row r="244" spans="1:16" hidden="1">
      <c r="B244" s="307"/>
      <c r="C244" s="307"/>
      <c r="D244" s="307"/>
      <c r="E244" s="307"/>
      <c r="F244" s="307"/>
      <c r="G244" s="307"/>
      <c r="H244" s="307"/>
      <c r="I244" s="307"/>
      <c r="J244" s="307"/>
      <c r="K244" s="307"/>
    </row>
    <row r="245" spans="1:16" customFormat="1" ht="28.5" hidden="1" customHeight="1">
      <c r="B245" s="664" t="s">
        <v>1184</v>
      </c>
      <c r="C245" s="665"/>
      <c r="D245" s="665"/>
      <c r="E245" s="665"/>
      <c r="F245" s="665"/>
      <c r="G245" s="665"/>
      <c r="H245" s="665"/>
      <c r="I245" s="665"/>
      <c r="J245" s="665"/>
      <c r="K245" s="666"/>
      <c r="L245" s="181"/>
    </row>
    <row r="246" spans="1:16" customFormat="1" ht="27" hidden="1" customHeight="1">
      <c r="B246" s="637"/>
      <c r="C246" s="638"/>
      <c r="D246" s="638"/>
      <c r="E246" s="638"/>
      <c r="F246" s="638"/>
      <c r="G246" s="638"/>
      <c r="H246" s="638"/>
      <c r="I246" s="638"/>
      <c r="J246" s="638"/>
      <c r="K246" s="638"/>
      <c r="L246" s="182"/>
    </row>
    <row r="247" spans="1:16" ht="31.5" hidden="1" customHeight="1">
      <c r="B247" s="667" t="s">
        <v>281</v>
      </c>
      <c r="C247" s="667"/>
      <c r="D247" s="667"/>
      <c r="E247" s="667"/>
      <c r="F247" s="667"/>
      <c r="G247" s="667"/>
      <c r="H247" s="667"/>
      <c r="I247" s="667"/>
      <c r="J247" s="667"/>
      <c r="K247" s="667"/>
      <c r="L247"/>
      <c r="M247"/>
      <c r="N247"/>
      <c r="O247"/>
      <c r="P247"/>
    </row>
    <row r="248" spans="1:16" customFormat="1" hidden="1"/>
    <row r="249" spans="1:16" ht="15.75" hidden="1" customHeight="1">
      <c r="B249" s="164" t="s">
        <v>707</v>
      </c>
      <c r="C249" s="668" t="str">
        <f>IF('1.1 The situation'!$C$97="","",'1.1 The situation'!$C$97)</f>
        <v/>
      </c>
      <c r="D249" s="669"/>
      <c r="E249" s="669"/>
      <c r="F249" s="669"/>
      <c r="G249" s="669"/>
      <c r="H249" s="669"/>
      <c r="I249" s="669"/>
      <c r="J249" s="669"/>
      <c r="K249" s="670"/>
      <c r="L249" s="144"/>
    </row>
    <row r="250" spans="1:16" hidden="1">
      <c r="C250" s="165"/>
      <c r="D250" s="166"/>
      <c r="E250" s="166"/>
      <c r="F250" s="166"/>
      <c r="G250" s="166"/>
      <c r="H250" s="166"/>
      <c r="I250" s="166"/>
      <c r="J250" s="166"/>
      <c r="K250" s="166"/>
    </row>
    <row r="251" spans="1:16" ht="15" hidden="1" customHeight="1">
      <c r="A251" s="397">
        <f ca="1">MATCH(C251,OFFSET('Dynamic lists'!$V$5,,,'Dynamic lists'!$W$5),0)-1</f>
        <v>0</v>
      </c>
      <c r="B251" s="15" t="s">
        <v>280</v>
      </c>
      <c r="C251" s="671" t="s">
        <v>412</v>
      </c>
      <c r="D251" s="672"/>
      <c r="E251" s="672"/>
      <c r="F251" s="672"/>
      <c r="G251" s="672"/>
      <c r="H251" s="672"/>
      <c r="I251" s="672"/>
      <c r="J251" s="672"/>
      <c r="K251" s="672"/>
      <c r="L251" s="144"/>
      <c r="M251" s="38"/>
    </row>
    <row r="252" spans="1:16" ht="9.75" hidden="1" customHeight="1">
      <c r="B252" s="15"/>
      <c r="C252" s="160"/>
      <c r="D252" s="160"/>
      <c r="E252" s="160"/>
      <c r="F252" s="160"/>
      <c r="G252" s="160"/>
      <c r="H252" s="160"/>
      <c r="I252" s="160"/>
      <c r="J252" s="160"/>
      <c r="K252" s="160"/>
      <c r="L252" s="15"/>
      <c r="M252" s="15"/>
    </row>
    <row r="253" spans="1:16" ht="24.75" hidden="1">
      <c r="B253" s="167" t="str">
        <f>IF($C251="Select traffic forecast","",$C251)</f>
        <v/>
      </c>
      <c r="C253" s="169" t="s">
        <v>253</v>
      </c>
      <c r="D253" s="169" t="s">
        <v>254</v>
      </c>
      <c r="E253" s="169" t="s">
        <v>1534</v>
      </c>
      <c r="F253" s="169" t="s">
        <v>1535</v>
      </c>
      <c r="G253" s="169">
        <v>2021</v>
      </c>
      <c r="H253" s="169">
        <v>2022</v>
      </c>
      <c r="I253" s="169">
        <v>2023</v>
      </c>
      <c r="J253" s="169">
        <v>2024</v>
      </c>
      <c r="K253" s="169" t="s">
        <v>1411</v>
      </c>
    </row>
    <row r="254" spans="1:16" hidden="1">
      <c r="B254" s="170" t="s">
        <v>255</v>
      </c>
      <c r="C254" s="183" t="str">
        <f>IFERROR(INDEX(STATFOR_Data!AR$3:AR$43,MATCH($C249,STATFOR_Data!$AP$3:$AP$43,0))/1000,"-")</f>
        <v>-</v>
      </c>
      <c r="D254" s="183" t="str">
        <f>IFERROR(INDEX(STATFOR_Data!AS$3:AS$43,MATCH($C249,STATFOR_Data!$AP$3:$AP$43,0))/1000,"-")</f>
        <v>-</v>
      </c>
      <c r="E254" s="183" t="str">
        <f>IFERROR(INDEX(STATFOR_Data!AT$3:AT$43,MATCH($C249,STATFOR_Data!$AP$3:$AP$43,0))/1000,"-")</f>
        <v>-</v>
      </c>
      <c r="F254" s="183" t="str">
        <f>IFERROR(INDEX(STATFOR_Data!AU$3:AU$43,MATCH($C249,STATFOR_Data!$AP$3:$AP$43,0))/1000,"-")</f>
        <v>-</v>
      </c>
      <c r="G254" s="183" t="str">
        <f ca="1">IFERROR(INDEX(INDIRECT("Table_STATF_"&amp;MID($C$251,SEARCH("forecast",$C$251)+9,3)&amp;"21_TRM_MVT["&amp;G$253&amp;"B]"),MATCH($C$249,INDIRECT("Table_STATF_"&amp;MID($C$251,SEARCH("forecast",$C$251)+9,3)&amp;"21_TRM_MVT[TCZ_Name]"),0))/1000,"-")</f>
        <v>-</v>
      </c>
      <c r="H254" s="183" t="str">
        <f t="shared" ref="H254:J254" ca="1" si="151">IFERROR(INDEX(INDIRECT("Table_STATF_"&amp;MID($C$251,SEARCH("forecast",$C$251)+9,3)&amp;"21_TRM_MVT["&amp;H$253&amp;"B]"),MATCH($C$249,INDIRECT("Table_STATF_"&amp;MID($C$251,SEARCH("forecast",$C$251)+9,3)&amp;"21_TRM_MVT[TCZ_Name]"),0))/1000,"-")</f>
        <v>-</v>
      </c>
      <c r="I254" s="183" t="str">
        <f t="shared" ca="1" si="151"/>
        <v>-</v>
      </c>
      <c r="J254" s="183" t="str">
        <f t="shared" ca="1" si="151"/>
        <v>-</v>
      </c>
      <c r="K254" s="175" t="str">
        <f ca="1">IFERROR((($J254/$E254)^(1/5)-1),"-")</f>
        <v>-</v>
      </c>
      <c r="L254" s="144"/>
    </row>
    <row r="255" spans="1:16" hidden="1">
      <c r="B255" s="170" t="s">
        <v>986</v>
      </c>
      <c r="C255" s="176"/>
      <c r="D255" s="177" t="str">
        <f>IFERROR(D254/C254-1,"-")</f>
        <v>-</v>
      </c>
      <c r="E255" s="177" t="str">
        <f t="shared" ref="E255:F255" si="152">IFERROR(E254/D254-1,"-")</f>
        <v>-</v>
      </c>
      <c r="F255" s="177" t="str">
        <f t="shared" si="152"/>
        <v>-</v>
      </c>
      <c r="G255" s="177" t="str">
        <f t="shared" ref="G255" ca="1" si="153">IFERROR(IF(G254&lt;&gt;"",G254/F254-1,"-"),"-")</f>
        <v>-</v>
      </c>
      <c r="H255" s="177" t="str">
        <f t="shared" ref="H255" ca="1" si="154">IFERROR(IF(H254&lt;&gt;"",H254/G254-1,"-"),"-")</f>
        <v>-</v>
      </c>
      <c r="I255" s="177" t="str">
        <f t="shared" ref="I255" ca="1" si="155">IFERROR(IF(I254&lt;&gt;"",I254/H254-1,"-"),"-")</f>
        <v>-</v>
      </c>
      <c r="J255" s="177" t="str">
        <f t="shared" ref="J255" ca="1" si="156">IFERROR(IF(J254&lt;&gt;"",J254/I254-1,"-"),"-")</f>
        <v>-</v>
      </c>
      <c r="K255" s="308"/>
      <c r="L255" s="144"/>
    </row>
    <row r="256" spans="1:16" hidden="1">
      <c r="B256" s="170" t="s">
        <v>977</v>
      </c>
      <c r="C256" s="183" t="str">
        <f>IFERROR(INDEX(STATFOR_Data!BL$3:BL$43,MATCH($C249,STATFOR_Data!$BJ$3:$BJ$43,0))/1000,"-")</f>
        <v>-</v>
      </c>
      <c r="D256" s="183" t="str">
        <f>IFERROR(INDEX(STATFOR_Data!BM$3:BM$43,MATCH($C249,STATFOR_Data!$BJ$3:$BJ$43,0))/1000,"-")</f>
        <v>-</v>
      </c>
      <c r="E256" s="183" t="str">
        <f>IFERROR(INDEX(STATFOR_Data!BN$3:BN$43,MATCH($C249,STATFOR_Data!$BJ$3:$BJ$43,0))/1000,"-")</f>
        <v>-</v>
      </c>
      <c r="F256" s="183" t="str">
        <f>IFERROR(INDEX(STATFOR_Data!BO$3:BO$43,MATCH($C249,STATFOR_Data!$BJ$3:$BJ$43,0))/1000,"-")</f>
        <v>-</v>
      </c>
      <c r="G256" s="183" t="str">
        <f ca="1">IFERROR(INDEX(INDIRECT("Table_STATF_"&amp;MID($C$251,SEARCH("forecast",$C$251)+9,3)&amp;"21_TRM_su["&amp;G$253&amp;"B]"),MATCH($C$249,INDIRECT("Table_STATF_"&amp;MID($C$251,SEARCH("forecast",$C$251)+9,3)&amp;"21_TRM_SU[TCZ_Name]"),0))/1000,"-")</f>
        <v>-</v>
      </c>
      <c r="H256" s="183" t="str">
        <f ca="1">IFERROR(INDEX(INDIRECT("Table_STATF_"&amp;MID($C$251,SEARCH("forecast",$C$251)+9,3)&amp;"21_TRM_su["&amp;H$253&amp;"B]"),MATCH($C$249,INDIRECT("Table_STATF_"&amp;MID($C$251,SEARCH("forecast",$C$251)+9,3)&amp;"21_TRM_SU[TCZ_Name]"),0))/1000,"-")</f>
        <v>-</v>
      </c>
      <c r="I256" s="183" t="str">
        <f ca="1">IFERROR(INDEX(INDIRECT("Table_STATF_"&amp;MID($C$251,SEARCH("forecast",$C$251)+9,3)&amp;"21_TRM_su["&amp;I$253&amp;"B]"),MATCH($C$249,INDIRECT("Table_STATF_"&amp;MID($C$251,SEARCH("forecast",$C$251)+9,3)&amp;"21_TRM_SU[TCZ_Name]"),0))/1000,"-")</f>
        <v>-</v>
      </c>
      <c r="J256" s="183" t="str">
        <f ca="1">IFERROR(INDEX(INDIRECT("Table_STATF_"&amp;MID($C$251,SEARCH("forecast",$C$251)+9,3)&amp;"21_TRM_su["&amp;J$253&amp;"B]"),MATCH($C$249,INDIRECT("Table_STATF_"&amp;MID($C$251,SEARCH("forecast",$C$251)+9,3)&amp;"21_TRM_SU[TCZ_Name]"),0))/1000,"-")</f>
        <v>-</v>
      </c>
      <c r="K256" s="175" t="str">
        <f ca="1">IFERROR((($J256/$E256)^(1/5)-1),"-")</f>
        <v>-</v>
      </c>
      <c r="L256" s="144"/>
    </row>
    <row r="257" spans="1:16" hidden="1">
      <c r="B257" s="168" t="s">
        <v>988</v>
      </c>
      <c r="C257" s="173"/>
      <c r="D257" s="174" t="str">
        <f>IFERROR(D256/C256-1,"-")</f>
        <v>-</v>
      </c>
      <c r="E257" s="174" t="str">
        <f t="shared" ref="E257:F257" si="157">IFERROR(E256/D256-1,"-")</f>
        <v>-</v>
      </c>
      <c r="F257" s="174" t="str">
        <f t="shared" si="157"/>
        <v>-</v>
      </c>
      <c r="G257" s="174" t="str">
        <f t="shared" ref="G257" ca="1" si="158">IFERROR(IF(G256&lt;&gt;"",G256/F256-1,"-"),"-")</f>
        <v>-</v>
      </c>
      <c r="H257" s="174" t="str">
        <f t="shared" ref="H257" ca="1" si="159">IFERROR(IF(H256&lt;&gt;"",H256/G256-1,"-"),"-")</f>
        <v>-</v>
      </c>
      <c r="I257" s="174" t="str">
        <f t="shared" ref="I257" ca="1" si="160">IFERROR(IF(I256&lt;&gt;"",I256/H256-1,"-"),"-")</f>
        <v>-</v>
      </c>
      <c r="J257" s="174" t="str">
        <f t="shared" ref="J257" ca="1" si="161">IFERROR(IF(J256&lt;&gt;"",J256/I256-1,"-"),"-")</f>
        <v>-</v>
      </c>
      <c r="K257" s="311"/>
      <c r="L257" s="144"/>
    </row>
    <row r="258" spans="1:16" ht="9.75" hidden="1" customHeight="1">
      <c r="B258" s="15"/>
      <c r="C258" s="15"/>
      <c r="D258" s="15"/>
      <c r="E258" s="15"/>
      <c r="F258" s="15"/>
      <c r="G258" s="15"/>
      <c r="H258" s="15"/>
      <c r="I258" s="15"/>
      <c r="J258" s="15"/>
      <c r="K258" s="15"/>
      <c r="L258" s="15"/>
      <c r="M258" s="15"/>
    </row>
    <row r="259" spans="1:16" ht="24.75" hidden="1">
      <c r="B259" s="178" t="s">
        <v>278</v>
      </c>
      <c r="C259" s="169" t="s">
        <v>253</v>
      </c>
      <c r="D259" s="169" t="s">
        <v>254</v>
      </c>
      <c r="E259" s="169" t="s">
        <v>1534</v>
      </c>
      <c r="F259" s="169" t="s">
        <v>1535</v>
      </c>
      <c r="G259" s="169">
        <v>2021</v>
      </c>
      <c r="H259" s="169">
        <v>2022</v>
      </c>
      <c r="I259" s="169">
        <v>2023</v>
      </c>
      <c r="J259" s="169">
        <v>2024</v>
      </c>
      <c r="K259" s="169" t="s">
        <v>1411</v>
      </c>
    </row>
    <row r="260" spans="1:16" hidden="1">
      <c r="B260" s="170" t="s">
        <v>255</v>
      </c>
      <c r="C260" s="183" t="str">
        <f>IFERROR(INDEX(STATFOR_Data!AR$3:AR$43,MATCH($C249,STATFOR_Data!$AP$3:$AP$43,0))/1000,"-")</f>
        <v>-</v>
      </c>
      <c r="D260" s="183" t="str">
        <f>IFERROR(INDEX(STATFOR_Data!AS$3:AS$43,MATCH($C249,STATFOR_Data!$AP$3:$AP$43,0))/1000,"-")</f>
        <v>-</v>
      </c>
      <c r="E260" s="183" t="str">
        <f>IFERROR(INDEX(STATFOR_Data!AT$3:AT$43,MATCH($C249,STATFOR_Data!$AP$3:$AP$43,0))/1000,"-")</f>
        <v>-</v>
      </c>
      <c r="F260" s="183" t="str">
        <f>IFERROR(INDEX(STATFOR_Data!AU$3:AU$43,MATCH($C249,STATFOR_Data!$AP$3:$AP$43,0))/1000,"-")</f>
        <v>-</v>
      </c>
      <c r="G260" s="179"/>
      <c r="H260" s="179"/>
      <c r="I260" s="179"/>
      <c r="J260" s="179"/>
      <c r="K260" s="175" t="str">
        <f>IFERROR((($J260/$E260)^(1/5)-1),"-")</f>
        <v>-</v>
      </c>
      <c r="L260" s="144"/>
      <c r="M260" s="87"/>
    </row>
    <row r="261" spans="1:16" hidden="1">
      <c r="B261" s="170" t="s">
        <v>986</v>
      </c>
      <c r="C261" s="176"/>
      <c r="D261" s="177" t="str">
        <f>IFERROR(D260/C260-1,"-")</f>
        <v>-</v>
      </c>
      <c r="E261" s="177" t="str">
        <f t="shared" ref="E261:F261" si="162">IFERROR(E260/D260-1,"-")</f>
        <v>-</v>
      </c>
      <c r="F261" s="177" t="str">
        <f t="shared" si="162"/>
        <v>-</v>
      </c>
      <c r="G261" s="180"/>
      <c r="H261" s="180"/>
      <c r="I261" s="180"/>
      <c r="J261" s="180"/>
      <c r="K261" s="176"/>
      <c r="L261" s="144"/>
    </row>
    <row r="262" spans="1:16" hidden="1">
      <c r="B262" s="170" t="s">
        <v>977</v>
      </c>
      <c r="C262" s="183" t="str">
        <f>IFERROR(INDEX(STATFOR_Data!BL$3:BL$43,MATCH($C249,STATFOR_Data!$BJ$3:$BJ$43,0))/1000,"-")</f>
        <v>-</v>
      </c>
      <c r="D262" s="183" t="str">
        <f>IFERROR(INDEX(STATFOR_Data!BM$3:BM$43,MATCH($C249,STATFOR_Data!$BJ$3:$BJ$43,0))/1000,"-")</f>
        <v>-</v>
      </c>
      <c r="E262" s="183" t="str">
        <f>IFERROR(INDEX(STATFOR_Data!BN$3:BN$43,MATCH($C249,STATFOR_Data!$BJ$3:$BJ$43,0))/1000,"-")</f>
        <v>-</v>
      </c>
      <c r="F262" s="183" t="str">
        <f>IFERROR(INDEX(STATFOR_Data!BO$3:BO$43,MATCH($C249,STATFOR_Data!$BJ$3:$BJ$43,0))/1000,"-")</f>
        <v>-</v>
      </c>
      <c r="G262" s="184"/>
      <c r="H262" s="184"/>
      <c r="I262" s="184"/>
      <c r="J262" s="184"/>
      <c r="K262" s="175" t="str">
        <f>IFERROR((($J262/$E262)^(1/5)-1),"-")</f>
        <v>-</v>
      </c>
      <c r="L262" s="144"/>
    </row>
    <row r="263" spans="1:16" hidden="1">
      <c r="B263" s="170" t="s">
        <v>988</v>
      </c>
      <c r="C263" s="173"/>
      <c r="D263" s="174" t="str">
        <f>IFERROR(D262/C262-1,"-")</f>
        <v>-</v>
      </c>
      <c r="E263" s="174" t="str">
        <f t="shared" ref="E263:F263" si="163">IFERROR(E262/D262-1,"-")</f>
        <v>-</v>
      </c>
      <c r="F263" s="174" t="str">
        <f t="shared" si="163"/>
        <v>-</v>
      </c>
      <c r="G263" s="180"/>
      <c r="H263" s="180"/>
      <c r="I263" s="180"/>
      <c r="J263" s="180"/>
      <c r="K263" s="176"/>
      <c r="L263" s="144"/>
    </row>
    <row r="264" spans="1:16" hidden="1">
      <c r="B264" s="307"/>
      <c r="C264" s="307"/>
      <c r="D264" s="307"/>
      <c r="E264" s="307"/>
      <c r="F264" s="307"/>
      <c r="G264" s="307"/>
      <c r="H264" s="307"/>
      <c r="I264" s="307"/>
      <c r="J264" s="307"/>
      <c r="K264" s="307"/>
    </row>
    <row r="265" spans="1:16" customFormat="1" ht="28.5" hidden="1" customHeight="1">
      <c r="B265" s="664" t="s">
        <v>1184</v>
      </c>
      <c r="C265" s="665"/>
      <c r="D265" s="665"/>
      <c r="E265" s="665"/>
      <c r="F265" s="665"/>
      <c r="G265" s="665"/>
      <c r="H265" s="665"/>
      <c r="I265" s="665"/>
      <c r="J265" s="665"/>
      <c r="K265" s="666"/>
      <c r="L265" s="181"/>
    </row>
    <row r="266" spans="1:16" customFormat="1" ht="27" hidden="1" customHeight="1">
      <c r="B266" s="637"/>
      <c r="C266" s="638"/>
      <c r="D266" s="638"/>
      <c r="E266" s="638"/>
      <c r="F266" s="638"/>
      <c r="G266" s="638"/>
      <c r="H266" s="638"/>
      <c r="I266" s="638"/>
      <c r="J266" s="638"/>
      <c r="K266" s="638"/>
      <c r="L266" s="182"/>
    </row>
    <row r="267" spans="1:16" ht="31.5" hidden="1" customHeight="1">
      <c r="B267" s="667" t="s">
        <v>281</v>
      </c>
      <c r="C267" s="667"/>
      <c r="D267" s="667"/>
      <c r="E267" s="667"/>
      <c r="F267" s="667"/>
      <c r="G267" s="667"/>
      <c r="H267" s="667"/>
      <c r="I267" s="667"/>
      <c r="J267" s="667"/>
      <c r="K267" s="667"/>
      <c r="L267"/>
      <c r="M267"/>
      <c r="N267"/>
      <c r="O267"/>
      <c r="P267"/>
    </row>
    <row r="268" spans="1:16" customFormat="1" hidden="1"/>
    <row r="269" spans="1:16" ht="15.75" hidden="1" customHeight="1">
      <c r="B269" s="164" t="s">
        <v>708</v>
      </c>
      <c r="C269" s="668" t="str">
        <f>IF('1.1 The situation'!$C$98="","",'1.1 The situation'!$C$98)</f>
        <v/>
      </c>
      <c r="D269" s="669"/>
      <c r="E269" s="669"/>
      <c r="F269" s="669"/>
      <c r="G269" s="669"/>
      <c r="H269" s="669"/>
      <c r="I269" s="669"/>
      <c r="J269" s="669"/>
      <c r="K269" s="670"/>
      <c r="L269" s="144"/>
    </row>
    <row r="270" spans="1:16" hidden="1">
      <c r="C270" s="165"/>
      <c r="D270" s="166"/>
      <c r="E270" s="166"/>
      <c r="F270" s="166"/>
      <c r="G270" s="166"/>
      <c r="H270" s="166"/>
      <c r="I270" s="166"/>
      <c r="J270" s="166"/>
      <c r="K270" s="166"/>
    </row>
    <row r="271" spans="1:16" ht="15" hidden="1" customHeight="1">
      <c r="A271" s="397">
        <f ca="1">MATCH(C271,OFFSET('Dynamic lists'!$V$5,,,'Dynamic lists'!$W$5),0)-1</f>
        <v>0</v>
      </c>
      <c r="B271" s="15" t="s">
        <v>280</v>
      </c>
      <c r="C271" s="671" t="s">
        <v>412</v>
      </c>
      <c r="D271" s="672"/>
      <c r="E271" s="672"/>
      <c r="F271" s="672"/>
      <c r="G271" s="672"/>
      <c r="H271" s="672"/>
      <c r="I271" s="672"/>
      <c r="J271" s="672"/>
      <c r="K271" s="672"/>
      <c r="L271" s="144"/>
      <c r="M271" s="38"/>
    </row>
    <row r="272" spans="1:16" ht="9.75" hidden="1" customHeight="1">
      <c r="B272" s="15"/>
      <c r="C272" s="160"/>
      <c r="D272" s="160"/>
      <c r="E272" s="160"/>
      <c r="F272" s="160"/>
      <c r="G272" s="160"/>
      <c r="H272" s="160"/>
      <c r="I272" s="160"/>
      <c r="J272" s="160"/>
      <c r="K272" s="160"/>
      <c r="L272" s="15"/>
      <c r="M272" s="15"/>
    </row>
    <row r="273" spans="2:16" ht="24.75" hidden="1">
      <c r="B273" s="167" t="str">
        <f>IF($C271="Select traffic forecast","",$C271)</f>
        <v/>
      </c>
      <c r="C273" s="169" t="s">
        <v>253</v>
      </c>
      <c r="D273" s="169" t="s">
        <v>254</v>
      </c>
      <c r="E273" s="169" t="s">
        <v>1534</v>
      </c>
      <c r="F273" s="169" t="s">
        <v>1535</v>
      </c>
      <c r="G273" s="169">
        <v>2021</v>
      </c>
      <c r="H273" s="169">
        <v>2022</v>
      </c>
      <c r="I273" s="169">
        <v>2023</v>
      </c>
      <c r="J273" s="169">
        <v>2024</v>
      </c>
      <c r="K273" s="169" t="s">
        <v>1411</v>
      </c>
    </row>
    <row r="274" spans="2:16" hidden="1">
      <c r="B274" s="170" t="s">
        <v>255</v>
      </c>
      <c r="C274" s="183" t="str">
        <f>IFERROR(INDEX(STATFOR_Data!AR$3:AR$43,MATCH($C269,STATFOR_Data!$AP$3:$AP$43,0))/1000,"-")</f>
        <v>-</v>
      </c>
      <c r="D274" s="183" t="str">
        <f>IFERROR(INDEX(STATFOR_Data!AS$3:AS$43,MATCH($C269,STATFOR_Data!$AP$3:$AP$43,0))/1000,"-")</f>
        <v>-</v>
      </c>
      <c r="E274" s="183" t="str">
        <f>IFERROR(INDEX(STATFOR_Data!AT$3:AT$43,MATCH($C269,STATFOR_Data!$AP$3:$AP$43,0))/1000,"-")</f>
        <v>-</v>
      </c>
      <c r="F274" s="183" t="str">
        <f>IFERROR(INDEX(STATFOR_Data!AU$3:AU$43,MATCH($C269,STATFOR_Data!$AP$3:$AP$43,0))/1000,"-")</f>
        <v>-</v>
      </c>
      <c r="G274" s="183" t="str">
        <f ca="1">IFERROR(INDEX(INDIRECT("Table_STATF_"&amp;MID($C$271,SEARCH("forecast",$C$271)+9,3)&amp;"21_TRM_MVT["&amp;G$273&amp;"B]"),MATCH($C$269,INDIRECT("Table_STATF_"&amp;MID($C$271,SEARCH("forecast",$C$271)+9,3)&amp;"21_TRM_MVT[TCZ_Name]"),0))/1000,"-")</f>
        <v>-</v>
      </c>
      <c r="H274" s="183" t="str">
        <f t="shared" ref="H274:J274" ca="1" si="164">IFERROR(INDEX(INDIRECT("Table_STATF_"&amp;MID($C$271,SEARCH("forecast",$C$271)+9,3)&amp;"21_TRM_MVT["&amp;H$273&amp;"B]"),MATCH($C$269,INDIRECT("Table_STATF_"&amp;MID($C$271,SEARCH("forecast",$C$271)+9,3)&amp;"21_TRM_MVT[TCZ_Name]"),0))/1000,"-")</f>
        <v>-</v>
      </c>
      <c r="I274" s="183" t="str">
        <f t="shared" ca="1" si="164"/>
        <v>-</v>
      </c>
      <c r="J274" s="183" t="str">
        <f t="shared" ca="1" si="164"/>
        <v>-</v>
      </c>
      <c r="K274" s="175" t="str">
        <f ca="1">IFERROR((($J274/$E274)^(1/5)-1),"-")</f>
        <v>-</v>
      </c>
      <c r="L274" s="144"/>
    </row>
    <row r="275" spans="2:16" hidden="1">
      <c r="B275" s="170" t="s">
        <v>986</v>
      </c>
      <c r="C275" s="176"/>
      <c r="D275" s="177" t="str">
        <f>IFERROR(D274/C274-1,"-")</f>
        <v>-</v>
      </c>
      <c r="E275" s="177" t="str">
        <f t="shared" ref="E275:F275" si="165">IFERROR(E274/D274-1,"-")</f>
        <v>-</v>
      </c>
      <c r="F275" s="177" t="str">
        <f t="shared" si="165"/>
        <v>-</v>
      </c>
      <c r="G275" s="177" t="str">
        <f t="shared" ref="G275" ca="1" si="166">IFERROR(IF(G274&lt;&gt;"",G274/F274-1,"-"),"-")</f>
        <v>-</v>
      </c>
      <c r="H275" s="177" t="str">
        <f t="shared" ref="H275" ca="1" si="167">IFERROR(IF(H274&lt;&gt;"",H274/G274-1,"-"),"-")</f>
        <v>-</v>
      </c>
      <c r="I275" s="177" t="str">
        <f t="shared" ref="I275" ca="1" si="168">IFERROR(IF(I274&lt;&gt;"",I274/H274-1,"-"),"-")</f>
        <v>-</v>
      </c>
      <c r="J275" s="177" t="str">
        <f t="shared" ref="J275" ca="1" si="169">IFERROR(IF(J274&lt;&gt;"",J274/I274-1,"-"),"-")</f>
        <v>-</v>
      </c>
      <c r="K275" s="308"/>
      <c r="L275" s="144"/>
    </row>
    <row r="276" spans="2:16" hidden="1">
      <c r="B276" s="170" t="s">
        <v>977</v>
      </c>
      <c r="C276" s="183" t="str">
        <f>IFERROR(INDEX(STATFOR_Data!BL$3:BL$43,MATCH($C269,STATFOR_Data!$BJ$3:$BJ$43,0))/1000,"-")</f>
        <v>-</v>
      </c>
      <c r="D276" s="183" t="str">
        <f>IFERROR(INDEX(STATFOR_Data!BM$3:BM$43,MATCH($C269,STATFOR_Data!$BJ$3:$BJ$43,0))/1000,"-")</f>
        <v>-</v>
      </c>
      <c r="E276" s="183" t="str">
        <f>IFERROR(INDEX(STATFOR_Data!BN$3:BN$43,MATCH($C269,STATFOR_Data!$BJ$3:$BJ$43,0))/1000,"-")</f>
        <v>-</v>
      </c>
      <c r="F276" s="183" t="str">
        <f>IFERROR(INDEX(STATFOR_Data!BO$3:BO$43,MATCH($C269,STATFOR_Data!$BJ$3:$BJ$43,0))/1000,"-")</f>
        <v>-</v>
      </c>
      <c r="G276" s="183" t="str">
        <f ca="1">IFERROR(INDEX(INDIRECT("Table_STATF_"&amp;MID($C$271,SEARCH("forecast",$C$271)+9,3)&amp;"21_TRM_su["&amp;G$273&amp;"B]"),MATCH($C$269,INDIRECT("Table_STATF_"&amp;MID($C$271,SEARCH("forecast",$C$271)+9,3)&amp;"21_TRM_SU[TCZ_Name]"),0))/1000,"-")</f>
        <v>-</v>
      </c>
      <c r="H276" s="183" t="str">
        <f ca="1">IFERROR(INDEX(INDIRECT("Table_STATF_"&amp;MID($C$271,SEARCH("forecast",$C$271)+9,3)&amp;"21_TRM_su["&amp;H$273&amp;"B]"),MATCH($C$269,INDIRECT("Table_STATF_"&amp;MID($C$271,SEARCH("forecast",$C$271)+9,3)&amp;"21_TRM_SU[TCZ_Name]"),0))/1000,"-")</f>
        <v>-</v>
      </c>
      <c r="I276" s="183" t="str">
        <f ca="1">IFERROR(INDEX(INDIRECT("Table_STATF_"&amp;MID($C$271,SEARCH("forecast",$C$271)+9,3)&amp;"21_TRM_su["&amp;I$273&amp;"B]"),MATCH($C$269,INDIRECT("Table_STATF_"&amp;MID($C$271,SEARCH("forecast",$C$271)+9,3)&amp;"21_TRM_SU[TCZ_Name]"),0))/1000,"-")</f>
        <v>-</v>
      </c>
      <c r="J276" s="183" t="str">
        <f ca="1">IFERROR(INDEX(INDIRECT("Table_STATF_"&amp;MID($C$271,SEARCH("forecast",$C$271)+9,3)&amp;"21_TRM_su["&amp;J$273&amp;"B]"),MATCH($C$269,INDIRECT("Table_STATF_"&amp;MID($C$271,SEARCH("forecast",$C$271)+9,3)&amp;"21_TRM_SU[TCZ_Name]"),0))/1000,"-")</f>
        <v>-</v>
      </c>
      <c r="K276" s="175" t="str">
        <f ca="1">IFERROR((($J276/$E276)^(1/5)-1),"-")</f>
        <v>-</v>
      </c>
      <c r="L276" s="144"/>
    </row>
    <row r="277" spans="2:16" hidden="1">
      <c r="B277" s="168" t="s">
        <v>988</v>
      </c>
      <c r="C277" s="173"/>
      <c r="D277" s="174" t="str">
        <f>IFERROR(D276/C276-1,"-")</f>
        <v>-</v>
      </c>
      <c r="E277" s="174" t="str">
        <f t="shared" ref="E277:F277" si="170">IFERROR(E276/D276-1,"-")</f>
        <v>-</v>
      </c>
      <c r="F277" s="174" t="str">
        <f t="shared" si="170"/>
        <v>-</v>
      </c>
      <c r="G277" s="174" t="str">
        <f t="shared" ref="G277" ca="1" si="171">IFERROR(IF(G276&lt;&gt;"",G276/F276-1,"-"),"-")</f>
        <v>-</v>
      </c>
      <c r="H277" s="174" t="str">
        <f t="shared" ref="H277" ca="1" si="172">IFERROR(IF(H276&lt;&gt;"",H276/G276-1,"-"),"-")</f>
        <v>-</v>
      </c>
      <c r="I277" s="174" t="str">
        <f t="shared" ref="I277" ca="1" si="173">IFERROR(IF(I276&lt;&gt;"",I276/H276-1,"-"),"-")</f>
        <v>-</v>
      </c>
      <c r="J277" s="174" t="str">
        <f t="shared" ref="J277" ca="1" si="174">IFERROR(IF(J276&lt;&gt;"",J276/I276-1,"-"),"-")</f>
        <v>-</v>
      </c>
      <c r="K277" s="311"/>
      <c r="L277" s="144"/>
    </row>
    <row r="278" spans="2:16" ht="9.75" hidden="1" customHeight="1">
      <c r="B278" s="15"/>
      <c r="C278" s="15"/>
      <c r="D278" s="15"/>
      <c r="E278" s="15"/>
      <c r="F278" s="15"/>
      <c r="G278" s="15"/>
      <c r="H278" s="15"/>
      <c r="I278" s="15"/>
      <c r="J278" s="15"/>
      <c r="K278" s="15"/>
      <c r="L278" s="15"/>
      <c r="M278" s="15"/>
    </row>
    <row r="279" spans="2:16" ht="24.75" hidden="1">
      <c r="B279" s="178" t="s">
        <v>278</v>
      </c>
      <c r="C279" s="169" t="s">
        <v>253</v>
      </c>
      <c r="D279" s="169" t="s">
        <v>254</v>
      </c>
      <c r="E279" s="169" t="s">
        <v>1534</v>
      </c>
      <c r="F279" s="169" t="s">
        <v>1535</v>
      </c>
      <c r="G279" s="169">
        <v>2021</v>
      </c>
      <c r="H279" s="169">
        <v>2022</v>
      </c>
      <c r="I279" s="169">
        <v>2023</v>
      </c>
      <c r="J279" s="169">
        <v>2024</v>
      </c>
      <c r="K279" s="169" t="s">
        <v>1411</v>
      </c>
    </row>
    <row r="280" spans="2:16" hidden="1">
      <c r="B280" s="170" t="s">
        <v>255</v>
      </c>
      <c r="C280" s="183" t="str">
        <f>IFERROR(INDEX(STATFOR_Data!AR$3:AR$43,MATCH($C269,STATFOR_Data!$AP$3:$AP$43,0))/1000,"-")</f>
        <v>-</v>
      </c>
      <c r="D280" s="183" t="str">
        <f>IFERROR(INDEX(STATFOR_Data!AS$3:AS$43,MATCH($C269,STATFOR_Data!$AP$3:$AP$43,0))/1000,"-")</f>
        <v>-</v>
      </c>
      <c r="E280" s="183" t="str">
        <f>IFERROR(INDEX(STATFOR_Data!AT$3:AT$43,MATCH($C269,STATFOR_Data!$AP$3:$AP$43,0))/1000,"-")</f>
        <v>-</v>
      </c>
      <c r="F280" s="183" t="str">
        <f>IFERROR(INDEX(STATFOR_Data!AU$3:AU$43,MATCH($C269,STATFOR_Data!$AP$3:$AP$43,0))/1000,"-")</f>
        <v>-</v>
      </c>
      <c r="G280" s="179"/>
      <c r="H280" s="179"/>
      <c r="I280" s="179"/>
      <c r="J280" s="179"/>
      <c r="K280" s="175" t="str">
        <f>IFERROR((($J280/$E280)^(1/5)-1),"-")</f>
        <v>-</v>
      </c>
      <c r="L280" s="144"/>
      <c r="M280" s="87"/>
    </row>
    <row r="281" spans="2:16" hidden="1">
      <c r="B281" s="170" t="s">
        <v>986</v>
      </c>
      <c r="C281" s="176"/>
      <c r="D281" s="177" t="str">
        <f>IFERROR(D280/C280-1,"-")</f>
        <v>-</v>
      </c>
      <c r="E281" s="177" t="str">
        <f t="shared" ref="E281:F281" si="175">IFERROR(E280/D280-1,"-")</f>
        <v>-</v>
      </c>
      <c r="F281" s="177" t="str">
        <f t="shared" si="175"/>
        <v>-</v>
      </c>
      <c r="G281" s="180"/>
      <c r="H281" s="180"/>
      <c r="I281" s="180"/>
      <c r="J281" s="180"/>
      <c r="K281" s="176"/>
      <c r="L281" s="144"/>
    </row>
    <row r="282" spans="2:16" hidden="1">
      <c r="B282" s="170" t="s">
        <v>977</v>
      </c>
      <c r="C282" s="183" t="str">
        <f>IFERROR(INDEX(STATFOR_Data!BL$3:BL$43,MATCH($C269,STATFOR_Data!$BJ$3:$BJ$43,0))/1000,"-")</f>
        <v>-</v>
      </c>
      <c r="D282" s="183" t="str">
        <f>IFERROR(INDEX(STATFOR_Data!BM$3:BM$43,MATCH($C269,STATFOR_Data!$BJ$3:$BJ$43,0))/1000,"-")</f>
        <v>-</v>
      </c>
      <c r="E282" s="183" t="str">
        <f>IFERROR(INDEX(STATFOR_Data!BN$3:BN$43,MATCH($C269,STATFOR_Data!$BJ$3:$BJ$43,0))/1000,"-")</f>
        <v>-</v>
      </c>
      <c r="F282" s="183" t="str">
        <f>IFERROR(INDEX(STATFOR_Data!BO$3:BO$43,MATCH($C269,STATFOR_Data!$BJ$3:$BJ$43,0))/1000,"-")</f>
        <v>-</v>
      </c>
      <c r="G282" s="184"/>
      <c r="H282" s="184"/>
      <c r="I282" s="184"/>
      <c r="J282" s="184"/>
      <c r="K282" s="175" t="str">
        <f>IFERROR((($J282/$E282)^(1/5)-1),"-")</f>
        <v>-</v>
      </c>
      <c r="L282" s="144"/>
    </row>
    <row r="283" spans="2:16" hidden="1">
      <c r="B283" s="170" t="s">
        <v>988</v>
      </c>
      <c r="C283" s="173"/>
      <c r="D283" s="174" t="str">
        <f>IFERROR(D282/C282-1,"-")</f>
        <v>-</v>
      </c>
      <c r="E283" s="174" t="str">
        <f t="shared" ref="E283:F283" si="176">IFERROR(E282/D282-1,"-")</f>
        <v>-</v>
      </c>
      <c r="F283" s="174" t="str">
        <f t="shared" si="176"/>
        <v>-</v>
      </c>
      <c r="G283" s="180"/>
      <c r="H283" s="180"/>
      <c r="I283" s="180"/>
      <c r="J283" s="180"/>
      <c r="K283" s="176"/>
      <c r="L283" s="144"/>
    </row>
    <row r="284" spans="2:16" hidden="1">
      <c r="B284" s="307"/>
      <c r="C284" s="307"/>
      <c r="D284" s="307"/>
      <c r="E284" s="307"/>
      <c r="F284" s="307"/>
      <c r="G284" s="307"/>
      <c r="H284" s="307"/>
      <c r="I284" s="307"/>
      <c r="J284" s="307"/>
      <c r="K284" s="307"/>
    </row>
    <row r="285" spans="2:16" customFormat="1" ht="28.5" hidden="1" customHeight="1">
      <c r="B285" s="664" t="s">
        <v>1184</v>
      </c>
      <c r="C285" s="665"/>
      <c r="D285" s="665"/>
      <c r="E285" s="665"/>
      <c r="F285" s="665"/>
      <c r="G285" s="665"/>
      <c r="H285" s="665"/>
      <c r="I285" s="665"/>
      <c r="J285" s="665"/>
      <c r="K285" s="666"/>
      <c r="L285" s="181"/>
    </row>
    <row r="286" spans="2:16" customFormat="1" ht="27" hidden="1" customHeight="1">
      <c r="B286" s="637"/>
      <c r="C286" s="638"/>
      <c r="D286" s="638"/>
      <c r="E286" s="638"/>
      <c r="F286" s="638"/>
      <c r="G286" s="638"/>
      <c r="H286" s="638"/>
      <c r="I286" s="638"/>
      <c r="J286" s="638"/>
      <c r="K286" s="638"/>
      <c r="L286" s="182"/>
    </row>
    <row r="287" spans="2:16" ht="31.5" hidden="1" customHeight="1">
      <c r="B287" s="667" t="s">
        <v>281</v>
      </c>
      <c r="C287" s="667"/>
      <c r="D287" s="667"/>
      <c r="E287" s="667"/>
      <c r="F287" s="667"/>
      <c r="G287" s="667"/>
      <c r="H287" s="667"/>
      <c r="I287" s="667"/>
      <c r="J287" s="667"/>
      <c r="K287" s="667"/>
      <c r="L287"/>
      <c r="M287"/>
      <c r="N287"/>
      <c r="O287"/>
      <c r="P287"/>
    </row>
    <row r="288" spans="2:16" customFormat="1" hidden="1"/>
    <row r="289" spans="1:13" ht="15.75" hidden="1" customHeight="1">
      <c r="B289" s="164" t="s">
        <v>709</v>
      </c>
      <c r="C289" s="668" t="str">
        <f>IF('1.1 The situation'!$C$99="","",'1.1 The situation'!$C$99)</f>
        <v/>
      </c>
      <c r="D289" s="669"/>
      <c r="E289" s="669"/>
      <c r="F289" s="669"/>
      <c r="G289" s="669"/>
      <c r="H289" s="669"/>
      <c r="I289" s="669"/>
      <c r="J289" s="669"/>
      <c r="K289" s="670"/>
      <c r="L289" s="144"/>
    </row>
    <row r="290" spans="1:13" hidden="1">
      <c r="C290" s="165"/>
      <c r="D290" s="166"/>
      <c r="E290" s="166"/>
      <c r="F290" s="166"/>
      <c r="G290" s="166"/>
      <c r="H290" s="166"/>
      <c r="I290" s="166"/>
      <c r="J290" s="166"/>
      <c r="K290" s="166"/>
    </row>
    <row r="291" spans="1:13" ht="15" hidden="1" customHeight="1">
      <c r="A291" s="397">
        <f ca="1">MATCH(C291,OFFSET('Dynamic lists'!$V$5,,,'Dynamic lists'!$W$5),0)-1</f>
        <v>0</v>
      </c>
      <c r="B291" s="15" t="s">
        <v>280</v>
      </c>
      <c r="C291" s="671" t="s">
        <v>412</v>
      </c>
      <c r="D291" s="672"/>
      <c r="E291" s="672"/>
      <c r="F291" s="672"/>
      <c r="G291" s="672"/>
      <c r="H291" s="672"/>
      <c r="I291" s="672"/>
      <c r="J291" s="672"/>
      <c r="K291" s="672"/>
      <c r="L291" s="144"/>
      <c r="M291" s="38"/>
    </row>
    <row r="292" spans="1:13" ht="9.75" hidden="1" customHeight="1">
      <c r="B292" s="15"/>
      <c r="C292" s="160"/>
      <c r="D292" s="160"/>
      <c r="E292" s="160"/>
      <c r="F292" s="160"/>
      <c r="G292" s="160"/>
      <c r="H292" s="160"/>
      <c r="I292" s="160"/>
      <c r="J292" s="160"/>
      <c r="K292" s="160"/>
      <c r="L292" s="15"/>
      <c r="M292" s="15"/>
    </row>
    <row r="293" spans="1:13" ht="24.75" hidden="1">
      <c r="B293" s="167" t="str">
        <f>IF($C291="Select traffic forecast","",$C291)</f>
        <v/>
      </c>
      <c r="C293" s="169" t="s">
        <v>253</v>
      </c>
      <c r="D293" s="169" t="s">
        <v>254</v>
      </c>
      <c r="E293" s="169" t="s">
        <v>1534</v>
      </c>
      <c r="F293" s="169" t="s">
        <v>1535</v>
      </c>
      <c r="G293" s="169">
        <v>2021</v>
      </c>
      <c r="H293" s="169">
        <v>2022</v>
      </c>
      <c r="I293" s="169">
        <v>2023</v>
      </c>
      <c r="J293" s="169">
        <v>2024</v>
      </c>
      <c r="K293" s="169" t="s">
        <v>1411</v>
      </c>
    </row>
    <row r="294" spans="1:13" hidden="1">
      <c r="B294" s="170" t="s">
        <v>255</v>
      </c>
      <c r="C294" s="183" t="str">
        <f>IFERROR(INDEX(STATFOR_Data!AR$3:AR$43,MATCH($C289,STATFOR_Data!$AP$3:$AP$43,0))/1000,"-")</f>
        <v>-</v>
      </c>
      <c r="D294" s="183" t="str">
        <f>IFERROR(INDEX(STATFOR_Data!AS$3:AS$43,MATCH($C289,STATFOR_Data!$AP$3:$AP$43,0))/1000,"-")</f>
        <v>-</v>
      </c>
      <c r="E294" s="183" t="str">
        <f>IFERROR(INDEX(STATFOR_Data!AT$3:AT$43,MATCH($C289,STATFOR_Data!$AP$3:$AP$43,0))/1000,"-")</f>
        <v>-</v>
      </c>
      <c r="F294" s="183" t="str">
        <f>IFERROR(INDEX(STATFOR_Data!AU$3:AU$43,MATCH($C289,STATFOR_Data!$AP$3:$AP$43,0))/1000,"-")</f>
        <v>-</v>
      </c>
      <c r="G294" s="183" t="str">
        <f ca="1">IFERROR(INDEX(INDIRECT("Table_STATF_"&amp;MID($C$291,SEARCH("forecast",$C$291)+9,3)&amp;"21_TRM_MVT["&amp;G$293&amp;"B]"),MATCH($C$289,INDIRECT("Table_STATF_"&amp;MID($C$291,SEARCH("forecast",$C$291)+9,3)&amp;"21_TRM_MVT[TCZ_Name]"),0))/1000,"-")</f>
        <v>-</v>
      </c>
      <c r="H294" s="183" t="str">
        <f t="shared" ref="H294:J294" ca="1" si="177">IFERROR(INDEX(INDIRECT("Table_STATF_"&amp;MID($C$291,SEARCH("forecast",$C$291)+9,3)&amp;"21_TRM_MVT["&amp;H$293&amp;"B]"),MATCH($C$289,INDIRECT("Table_STATF_"&amp;MID($C$291,SEARCH("forecast",$C$291)+9,3)&amp;"21_TRM_MVT[TCZ_Name]"),0))/1000,"-")</f>
        <v>-</v>
      </c>
      <c r="I294" s="183" t="str">
        <f t="shared" ca="1" si="177"/>
        <v>-</v>
      </c>
      <c r="J294" s="183" t="str">
        <f t="shared" ca="1" si="177"/>
        <v>-</v>
      </c>
      <c r="K294" s="175" t="str">
        <f ca="1">IFERROR((($J294/$E294)^(1/5)-1),"-")</f>
        <v>-</v>
      </c>
      <c r="L294" s="144"/>
    </row>
    <row r="295" spans="1:13" hidden="1">
      <c r="B295" s="170" t="s">
        <v>986</v>
      </c>
      <c r="C295" s="176"/>
      <c r="D295" s="177" t="str">
        <f>IFERROR(D294/C294-1,"-")</f>
        <v>-</v>
      </c>
      <c r="E295" s="177" t="str">
        <f t="shared" ref="E295:F295" si="178">IFERROR(E294/D294-1,"-")</f>
        <v>-</v>
      </c>
      <c r="F295" s="177" t="str">
        <f t="shared" si="178"/>
        <v>-</v>
      </c>
      <c r="G295" s="177" t="str">
        <f t="shared" ref="G295" ca="1" si="179">IFERROR(IF(G294&lt;&gt;"",G294/F294-1,"-"),"-")</f>
        <v>-</v>
      </c>
      <c r="H295" s="177" t="str">
        <f t="shared" ref="H295" ca="1" si="180">IFERROR(IF(H294&lt;&gt;"",H294/G294-1,"-"),"-")</f>
        <v>-</v>
      </c>
      <c r="I295" s="177" t="str">
        <f t="shared" ref="I295" ca="1" si="181">IFERROR(IF(I294&lt;&gt;"",I294/H294-1,"-"),"-")</f>
        <v>-</v>
      </c>
      <c r="J295" s="177" t="str">
        <f t="shared" ref="J295" ca="1" si="182">IFERROR(IF(J294&lt;&gt;"",J294/I294-1,"-"),"-")</f>
        <v>-</v>
      </c>
      <c r="K295" s="308"/>
      <c r="L295" s="144"/>
    </row>
    <row r="296" spans="1:13" hidden="1">
      <c r="B296" s="170" t="s">
        <v>977</v>
      </c>
      <c r="C296" s="183" t="str">
        <f>IFERROR(INDEX(STATFOR_Data!BL$3:BL$43,MATCH($C289,STATFOR_Data!$BJ$3:$BJ$43,0))/1000,"-")</f>
        <v>-</v>
      </c>
      <c r="D296" s="183" t="str">
        <f>IFERROR(INDEX(STATFOR_Data!BM$3:BM$43,MATCH($C289,STATFOR_Data!$BJ$3:$BJ$43,0))/1000,"-")</f>
        <v>-</v>
      </c>
      <c r="E296" s="183" t="str">
        <f>IFERROR(INDEX(STATFOR_Data!BN$3:BN$43,MATCH($C289,STATFOR_Data!$BJ$3:$BJ$43,0))/1000,"-")</f>
        <v>-</v>
      </c>
      <c r="F296" s="183" t="str">
        <f>IFERROR(INDEX(STATFOR_Data!BO$3:BO$43,MATCH($C289,STATFOR_Data!$BJ$3:$BJ$43,0))/1000,"-")</f>
        <v>-</v>
      </c>
      <c r="G296" s="183" t="str">
        <f ca="1">IFERROR(INDEX(INDIRECT("Table_STATF_"&amp;MID($C$291,SEARCH("forecast",$C$291)+9,3)&amp;"21_TRM_su["&amp;G$293&amp;"B]"),MATCH($C$289,INDIRECT("Table_STATF_"&amp;MID($C$291,SEARCH("forecast",$C$291)+9,3)&amp;"21_TRM_SU[TCZ_Name]"),0))/1000,"-")</f>
        <v>-</v>
      </c>
      <c r="H296" s="183" t="str">
        <f ca="1">IFERROR(INDEX(INDIRECT("Table_STATF_"&amp;MID($C$291,SEARCH("forecast",$C$291)+9,3)&amp;"21_TRM_su["&amp;H$293&amp;"B]"),MATCH($C$289,INDIRECT("Table_STATF_"&amp;MID($C$291,SEARCH("forecast",$C$291)+9,3)&amp;"21_TRM_SU[TCZ_Name]"),0))/1000,"-")</f>
        <v>-</v>
      </c>
      <c r="I296" s="183" t="str">
        <f ca="1">IFERROR(INDEX(INDIRECT("Table_STATF_"&amp;MID($C$291,SEARCH("forecast",$C$291)+9,3)&amp;"21_TRM_su["&amp;I$293&amp;"B]"),MATCH($C$289,INDIRECT("Table_STATF_"&amp;MID($C$291,SEARCH("forecast",$C$291)+9,3)&amp;"21_TRM_SU[TCZ_Name]"),0))/1000,"-")</f>
        <v>-</v>
      </c>
      <c r="J296" s="183" t="str">
        <f ca="1">IFERROR(INDEX(INDIRECT("Table_STATF_"&amp;MID($C$291,SEARCH("forecast",$C$291)+9,3)&amp;"21_TRM_su["&amp;J$293&amp;"B]"),MATCH($C$289,INDIRECT("Table_STATF_"&amp;MID($C$291,SEARCH("forecast",$C$291)+9,3)&amp;"21_TRM_SU[TCZ_Name]"),0))/1000,"-")</f>
        <v>-</v>
      </c>
      <c r="K296" s="175" t="str">
        <f ca="1">IFERROR((($J296/$E296)^(1/5)-1),"-")</f>
        <v>-</v>
      </c>
      <c r="L296" s="144"/>
    </row>
    <row r="297" spans="1:13" hidden="1">
      <c r="B297" s="168" t="s">
        <v>988</v>
      </c>
      <c r="C297" s="173"/>
      <c r="D297" s="174" t="str">
        <f>IFERROR(D296/C296-1,"-")</f>
        <v>-</v>
      </c>
      <c r="E297" s="174" t="str">
        <f t="shared" ref="E297:F297" si="183">IFERROR(E296/D296-1,"-")</f>
        <v>-</v>
      </c>
      <c r="F297" s="174" t="str">
        <f t="shared" si="183"/>
        <v>-</v>
      </c>
      <c r="G297" s="174" t="str">
        <f t="shared" ref="G297" ca="1" si="184">IFERROR(IF(G296&lt;&gt;"",G296/F296-1,"-"),"-")</f>
        <v>-</v>
      </c>
      <c r="H297" s="174" t="str">
        <f t="shared" ref="H297" ca="1" si="185">IFERROR(IF(H296&lt;&gt;"",H296/G296-1,"-"),"-")</f>
        <v>-</v>
      </c>
      <c r="I297" s="174" t="str">
        <f t="shared" ref="I297" ca="1" si="186">IFERROR(IF(I296&lt;&gt;"",I296/H296-1,"-"),"-")</f>
        <v>-</v>
      </c>
      <c r="J297" s="174" t="str">
        <f t="shared" ref="J297" ca="1" si="187">IFERROR(IF(J296&lt;&gt;"",J296/I296-1,"-"),"-")</f>
        <v>-</v>
      </c>
      <c r="K297" s="311"/>
      <c r="L297" s="144"/>
    </row>
    <row r="298" spans="1:13" ht="9.75" hidden="1" customHeight="1">
      <c r="B298" s="15"/>
      <c r="C298" s="15"/>
      <c r="D298" s="15"/>
      <c r="E298" s="15"/>
      <c r="F298" s="15"/>
      <c r="G298" s="15"/>
      <c r="H298" s="15"/>
      <c r="I298" s="15"/>
      <c r="J298" s="15"/>
      <c r="K298" s="15"/>
      <c r="L298" s="15"/>
      <c r="M298" s="15"/>
    </row>
    <row r="299" spans="1:13" ht="24.75" hidden="1">
      <c r="B299" s="178" t="s">
        <v>278</v>
      </c>
      <c r="C299" s="169" t="s">
        <v>253</v>
      </c>
      <c r="D299" s="169" t="s">
        <v>254</v>
      </c>
      <c r="E299" s="169" t="s">
        <v>1534</v>
      </c>
      <c r="F299" s="169" t="s">
        <v>1535</v>
      </c>
      <c r="G299" s="169">
        <v>2021</v>
      </c>
      <c r="H299" s="169">
        <v>2022</v>
      </c>
      <c r="I299" s="169">
        <v>2023</v>
      </c>
      <c r="J299" s="169">
        <v>2024</v>
      </c>
      <c r="K299" s="169" t="s">
        <v>1411</v>
      </c>
    </row>
    <row r="300" spans="1:13" hidden="1">
      <c r="B300" s="170" t="s">
        <v>255</v>
      </c>
      <c r="C300" s="183" t="str">
        <f>IFERROR(INDEX(STATFOR_Data!AR$3:AR$43,MATCH($C289,STATFOR_Data!$AP$3:$AP$43,0))/1000,"-")</f>
        <v>-</v>
      </c>
      <c r="D300" s="183" t="str">
        <f>IFERROR(INDEX(STATFOR_Data!AS$3:AS$43,MATCH($C289,STATFOR_Data!$AP$3:$AP$43,0))/1000,"-")</f>
        <v>-</v>
      </c>
      <c r="E300" s="183" t="str">
        <f>IFERROR(INDEX(STATFOR_Data!AT$3:AT$43,MATCH($C289,STATFOR_Data!$AP$3:$AP$43,0))/1000,"-")</f>
        <v>-</v>
      </c>
      <c r="F300" s="183" t="str">
        <f>IFERROR(INDEX(STATFOR_Data!AU$3:AU$43,MATCH($C289,STATFOR_Data!$AP$3:$AP$43,0))/1000,"-")</f>
        <v>-</v>
      </c>
      <c r="G300" s="179"/>
      <c r="H300" s="179"/>
      <c r="I300" s="179"/>
      <c r="J300" s="179"/>
      <c r="K300" s="175" t="str">
        <f>IFERROR((($J300/$E300)^(1/5)-1),"-")</f>
        <v>-</v>
      </c>
      <c r="L300" s="144"/>
      <c r="M300" s="87"/>
    </row>
    <row r="301" spans="1:13" hidden="1">
      <c r="B301" s="170" t="s">
        <v>986</v>
      </c>
      <c r="C301" s="176"/>
      <c r="D301" s="177" t="str">
        <f>IFERROR(D300/C300-1,"-")</f>
        <v>-</v>
      </c>
      <c r="E301" s="177" t="str">
        <f t="shared" ref="E301:F301" si="188">IFERROR(E300/D300-1,"-")</f>
        <v>-</v>
      </c>
      <c r="F301" s="177" t="str">
        <f t="shared" si="188"/>
        <v>-</v>
      </c>
      <c r="G301" s="180"/>
      <c r="H301" s="180"/>
      <c r="I301" s="180"/>
      <c r="J301" s="180"/>
      <c r="K301" s="176"/>
      <c r="L301" s="144"/>
    </row>
    <row r="302" spans="1:13" hidden="1">
      <c r="B302" s="170" t="s">
        <v>977</v>
      </c>
      <c r="C302" s="183" t="str">
        <f>IFERROR(INDEX(STATFOR_Data!BL$3:BL$43,MATCH($C289,STATFOR_Data!$BJ$3:$BJ$43,0))/1000,"-")</f>
        <v>-</v>
      </c>
      <c r="D302" s="183" t="str">
        <f>IFERROR(INDEX(STATFOR_Data!BM$3:BM$43,MATCH($C289,STATFOR_Data!$BJ$3:$BJ$43,0))/1000,"-")</f>
        <v>-</v>
      </c>
      <c r="E302" s="183" t="str">
        <f>IFERROR(INDEX(STATFOR_Data!BN$3:BN$43,MATCH($C289,STATFOR_Data!$BJ$3:$BJ$43,0))/1000,"-")</f>
        <v>-</v>
      </c>
      <c r="F302" s="183" t="str">
        <f>IFERROR(INDEX(STATFOR_Data!BO$3:BO$43,MATCH($C289,STATFOR_Data!$BJ$3:$BJ$43,0))/1000,"-")</f>
        <v>-</v>
      </c>
      <c r="G302" s="184"/>
      <c r="H302" s="184"/>
      <c r="I302" s="184"/>
      <c r="J302" s="184"/>
      <c r="K302" s="175" t="str">
        <f>IFERROR((($J302/$E302)^(1/5)-1),"-")</f>
        <v>-</v>
      </c>
      <c r="L302" s="144"/>
    </row>
    <row r="303" spans="1:13" hidden="1">
      <c r="B303" s="170" t="s">
        <v>988</v>
      </c>
      <c r="C303" s="173"/>
      <c r="D303" s="174" t="str">
        <f>IFERROR(D302/C302-1,"-")</f>
        <v>-</v>
      </c>
      <c r="E303" s="174" t="str">
        <f t="shared" ref="E303:F303" si="189">IFERROR(E302/D302-1,"-")</f>
        <v>-</v>
      </c>
      <c r="F303" s="174" t="str">
        <f t="shared" si="189"/>
        <v>-</v>
      </c>
      <c r="G303" s="180"/>
      <c r="H303" s="180"/>
      <c r="I303" s="180"/>
      <c r="J303" s="180"/>
      <c r="K303" s="176"/>
      <c r="L303" s="144"/>
    </row>
    <row r="304" spans="1:13" hidden="1">
      <c r="B304" s="307"/>
      <c r="C304" s="307"/>
      <c r="D304" s="307"/>
      <c r="E304" s="307"/>
      <c r="F304" s="307"/>
      <c r="G304" s="307"/>
      <c r="H304" s="307"/>
      <c r="I304" s="307"/>
      <c r="J304" s="307"/>
      <c r="K304" s="307"/>
    </row>
    <row r="305" spans="2:16" customFormat="1" ht="28.5" hidden="1" customHeight="1">
      <c r="B305" s="664" t="s">
        <v>1184</v>
      </c>
      <c r="C305" s="665"/>
      <c r="D305" s="665"/>
      <c r="E305" s="665"/>
      <c r="F305" s="665"/>
      <c r="G305" s="665"/>
      <c r="H305" s="665"/>
      <c r="I305" s="665"/>
      <c r="J305" s="665"/>
      <c r="K305" s="666"/>
      <c r="L305" s="181"/>
    </row>
    <row r="306" spans="2:16" customFormat="1" ht="27" hidden="1" customHeight="1">
      <c r="B306" s="637"/>
      <c r="C306" s="638"/>
      <c r="D306" s="638"/>
      <c r="E306" s="638"/>
      <c r="F306" s="638"/>
      <c r="G306" s="638"/>
      <c r="H306" s="638"/>
      <c r="I306" s="638"/>
      <c r="J306" s="638"/>
      <c r="K306" s="638"/>
      <c r="L306" s="182"/>
    </row>
    <row r="307" spans="2:16" ht="31.5" hidden="1" customHeight="1">
      <c r="B307" s="667" t="s">
        <v>281</v>
      </c>
      <c r="C307" s="667"/>
      <c r="D307" s="667"/>
      <c r="E307" s="667"/>
      <c r="F307" s="667"/>
      <c r="G307" s="667"/>
      <c r="H307" s="667"/>
      <c r="I307" s="667"/>
      <c r="J307" s="667"/>
      <c r="K307" s="667"/>
      <c r="L307"/>
      <c r="M307"/>
      <c r="N307"/>
      <c r="O307"/>
      <c r="P307"/>
    </row>
    <row r="308" spans="2:16" hidden="1">
      <c r="B308"/>
      <c r="C308"/>
      <c r="D308"/>
      <c r="E308"/>
      <c r="F308"/>
      <c r="G308"/>
      <c r="H308"/>
      <c r="I308"/>
      <c r="J308"/>
      <c r="K308"/>
      <c r="L308"/>
      <c r="M308"/>
      <c r="N308"/>
      <c r="O308"/>
      <c r="P308"/>
    </row>
  </sheetData>
  <sheetProtection formatCells="0" formatColumns="0" formatRows="0" insertHyperlinks="0"/>
  <mergeCells count="78">
    <mergeCell ref="B102:K102"/>
    <mergeCell ref="B103:K103"/>
    <mergeCell ref="B104:K104"/>
    <mergeCell ref="B82:K82"/>
    <mergeCell ref="B83:K83"/>
    <mergeCell ref="B84:K84"/>
    <mergeCell ref="C86:K86"/>
    <mergeCell ref="C88:K88"/>
    <mergeCell ref="B62:K62"/>
    <mergeCell ref="B63:K63"/>
    <mergeCell ref="B64:K64"/>
    <mergeCell ref="C66:K66"/>
    <mergeCell ref="C68:K68"/>
    <mergeCell ref="B44:K44"/>
    <mergeCell ref="B167:K167"/>
    <mergeCell ref="B107:C107"/>
    <mergeCell ref="C109:K109"/>
    <mergeCell ref="C129:K129"/>
    <mergeCell ref="C149:K149"/>
    <mergeCell ref="C111:K111"/>
    <mergeCell ref="C131:K131"/>
    <mergeCell ref="C151:K151"/>
    <mergeCell ref="B145:K145"/>
    <mergeCell ref="B146:K146"/>
    <mergeCell ref="B165:K165"/>
    <mergeCell ref="B166:K166"/>
    <mergeCell ref="B147:K147"/>
    <mergeCell ref="C46:K46"/>
    <mergeCell ref="C48:K48"/>
    <mergeCell ref="B43:K43"/>
    <mergeCell ref="B42:K42"/>
    <mergeCell ref="B2:C2"/>
    <mergeCell ref="C8:K8"/>
    <mergeCell ref="C6:K6"/>
    <mergeCell ref="B4:C4"/>
    <mergeCell ref="C26:K26"/>
    <mergeCell ref="C28:K28"/>
    <mergeCell ref="B22:K22"/>
    <mergeCell ref="B23:K23"/>
    <mergeCell ref="B24:K24"/>
    <mergeCell ref="B125:K125"/>
    <mergeCell ref="B126:K126"/>
    <mergeCell ref="B127:K127"/>
    <mergeCell ref="C169:K169"/>
    <mergeCell ref="C171:K171"/>
    <mergeCell ref="B185:K185"/>
    <mergeCell ref="B186:K186"/>
    <mergeCell ref="B187:K187"/>
    <mergeCell ref="C189:K189"/>
    <mergeCell ref="C191:K191"/>
    <mergeCell ref="B205:K205"/>
    <mergeCell ref="B206:K206"/>
    <mergeCell ref="B207:K207"/>
    <mergeCell ref="C209:K209"/>
    <mergeCell ref="C211:K211"/>
    <mergeCell ref="B225:K225"/>
    <mergeCell ref="B226:K226"/>
    <mergeCell ref="B227:K227"/>
    <mergeCell ref="C229:K229"/>
    <mergeCell ref="C231:K231"/>
    <mergeCell ref="C249:K249"/>
    <mergeCell ref="C251:K251"/>
    <mergeCell ref="B245:K245"/>
    <mergeCell ref="B246:K246"/>
    <mergeCell ref="B247:K247"/>
    <mergeCell ref="B265:K265"/>
    <mergeCell ref="B266:K266"/>
    <mergeCell ref="B267:K267"/>
    <mergeCell ref="C269:K269"/>
    <mergeCell ref="C271:K271"/>
    <mergeCell ref="B305:K305"/>
    <mergeCell ref="B306:K306"/>
    <mergeCell ref="B307:K307"/>
    <mergeCell ref="B285:K285"/>
    <mergeCell ref="B286:K286"/>
    <mergeCell ref="B287:K287"/>
    <mergeCell ref="C289:K289"/>
    <mergeCell ref="C291:K291"/>
  </mergeCells>
  <conditionalFormatting sqref="C6:K6 C8:K8 D12 D14 K17 K19 C26:K26 C28:K28 K37 K39 C46:K46 C48:K48 C66:K66 C68:K68 C86:K86 C88:K88 C109:K109 C111:K111 K114 K116 K120 K122 C129:K129 C131:K131 K134 K136 K140 K142 C149:K149 K154 K156 K160 K162 C169:K169 K174 K176 K180 K182 C189:K189 K194 K196 K200 K202 C209:K209 K214 K216 K220 K222 C229:K229 K234 K236 K240 K242 C249:K249 K254 K256 K260 K262 C269:K269 K274 K276 K280 K282 C289:K289 K294 K296 K300 K302 C11:D11 C13:D13 C151:K151 C171:K171 C191:K191 C211:K211 C231:K231 C251:K251 C271:K271 C291:K291 G14:J14 G12:J12 E11:F14 D18:F18 D20:F20 C17:F17 C19:F19 G11:K11 G13:K13">
    <cfRule type="expression" dxfId="1438" priority="83">
      <formula>$A$2="PRINT"</formula>
    </cfRule>
  </conditionalFormatting>
  <conditionalFormatting sqref="D38:F38 D40:F40 C37:F37 C39:F39">
    <cfRule type="expression" dxfId="1437" priority="82">
      <formula>$A$2="PRINT"</formula>
    </cfRule>
  </conditionalFormatting>
  <conditionalFormatting sqref="D135:F135 D137:F137 C134:F134 C136:F136">
    <cfRule type="expression" dxfId="1436" priority="68">
      <formula>$A$2="PRINT"</formula>
    </cfRule>
  </conditionalFormatting>
  <conditionalFormatting sqref="K57 K59">
    <cfRule type="expression" dxfId="1435" priority="80">
      <formula>$A$2="PRINT"</formula>
    </cfRule>
  </conditionalFormatting>
  <conditionalFormatting sqref="D58:F58 D60:F60 C57:F57 C59:F59">
    <cfRule type="expression" dxfId="1434" priority="79">
      <formula>$A$2="PRINT"</formula>
    </cfRule>
  </conditionalFormatting>
  <conditionalFormatting sqref="K77 K79">
    <cfRule type="expression" dxfId="1433" priority="77">
      <formula>$A$2="PRINT"</formula>
    </cfRule>
  </conditionalFormatting>
  <conditionalFormatting sqref="D78:F78 D80:F80 C77:F77 C79:F79">
    <cfRule type="expression" dxfId="1432" priority="76">
      <formula>$A$2="PRINT"</formula>
    </cfRule>
  </conditionalFormatting>
  <conditionalFormatting sqref="D161:F161 D163:F163 C160:F160 C162:F162">
    <cfRule type="expression" dxfId="1431" priority="64">
      <formula>$A$2="PRINT"</formula>
    </cfRule>
  </conditionalFormatting>
  <conditionalFormatting sqref="K97 K99">
    <cfRule type="expression" dxfId="1430" priority="74">
      <formula>$A$2="PRINT"</formula>
    </cfRule>
  </conditionalFormatting>
  <conditionalFormatting sqref="D98:F98 D100:F100 C97:F97 C99:F99">
    <cfRule type="expression" dxfId="1429" priority="73">
      <formula>$A$2="PRINT"</formula>
    </cfRule>
  </conditionalFormatting>
  <conditionalFormatting sqref="D175:F175 D177:F177 C174:F174 C176:F176">
    <cfRule type="expression" dxfId="1428" priority="62">
      <formula>$A$2="PRINT"</formula>
    </cfRule>
  </conditionalFormatting>
  <conditionalFormatting sqref="D115:F115 D117:F117 C114:F114 C116:F116">
    <cfRule type="expression" dxfId="1427" priority="71">
      <formula>$A$2="PRINT"</formula>
    </cfRule>
  </conditionalFormatting>
  <conditionalFormatting sqref="D121:F121 D123:F123 C120:F120 C122:F122">
    <cfRule type="expression" dxfId="1426" priority="70">
      <formula>$A$2="PRINT"</formula>
    </cfRule>
  </conditionalFormatting>
  <conditionalFormatting sqref="G114:J117">
    <cfRule type="expression" dxfId="1425" priority="69">
      <formula>$A$2="PRINT"</formula>
    </cfRule>
  </conditionalFormatting>
  <conditionalFormatting sqref="D141:F141 D143:F143 C140:F140 C142:F142">
    <cfRule type="expression" dxfId="1424" priority="67">
      <formula>$A$2="PRINT"</formula>
    </cfRule>
  </conditionalFormatting>
  <conditionalFormatting sqref="D155:F155 D157:F157 C154:F154 C156:F156">
    <cfRule type="expression" dxfId="1423" priority="65">
      <formula>$A$2="PRINT"</formula>
    </cfRule>
  </conditionalFormatting>
  <conditionalFormatting sqref="D221:F221 D223:F223 C220:F220 C222:F222">
    <cfRule type="expression" dxfId="1422" priority="55">
      <formula>$A$2="PRINT"</formula>
    </cfRule>
  </conditionalFormatting>
  <conditionalFormatting sqref="D181:F181 D183:F183 C180:F180 C182:F182">
    <cfRule type="expression" dxfId="1421" priority="61">
      <formula>$A$2="PRINT"</formula>
    </cfRule>
  </conditionalFormatting>
  <conditionalFormatting sqref="D235:F235 D237:F237 C234:F234 C236:F236">
    <cfRule type="expression" dxfId="1420" priority="53">
      <formula>$A$2="PRINT"</formula>
    </cfRule>
  </conditionalFormatting>
  <conditionalFormatting sqref="D195:F195 D197:F197 C194:F194 C196:F196">
    <cfRule type="expression" dxfId="1419" priority="59">
      <formula>$A$2="PRINT"</formula>
    </cfRule>
  </conditionalFormatting>
  <conditionalFormatting sqref="D201:F201 D203:F203 C200:F200 C202:F202">
    <cfRule type="expression" dxfId="1418" priority="58">
      <formula>$A$2="PRINT"</formula>
    </cfRule>
  </conditionalFormatting>
  <conditionalFormatting sqref="D215:F215 D217:F217 C214:F214 C216:F216">
    <cfRule type="expression" dxfId="1417" priority="56">
      <formula>$A$2="PRINT"</formula>
    </cfRule>
  </conditionalFormatting>
  <conditionalFormatting sqref="D261:F261 D263:F263 C260:F260 C262:F262">
    <cfRule type="expression" dxfId="1416" priority="49">
      <formula>$A$2="PRINT"</formula>
    </cfRule>
  </conditionalFormatting>
  <conditionalFormatting sqref="D241:F241 D243:F243 C240:F240 C242:F242">
    <cfRule type="expression" dxfId="1415" priority="52">
      <formula>$A$2="PRINT"</formula>
    </cfRule>
  </conditionalFormatting>
  <conditionalFormatting sqref="D275:F275 D277:F277 C274:F274 C276:F276">
    <cfRule type="expression" dxfId="1414" priority="47">
      <formula>$A$2="PRINT"</formula>
    </cfRule>
  </conditionalFormatting>
  <conditionalFormatting sqref="D255:F255 D257:F257 C254:F254 C256:F256">
    <cfRule type="expression" dxfId="1413" priority="50">
      <formula>$A$2="PRINT"</formula>
    </cfRule>
  </conditionalFormatting>
  <conditionalFormatting sqref="D32 D34 C31:D31 C33:D33 K33 K31 G34:J34 G32:J32 E31:F34">
    <cfRule type="expression" dxfId="1412" priority="41">
      <formula>$A$2="PRINT"</formula>
    </cfRule>
  </conditionalFormatting>
  <conditionalFormatting sqref="D281:F281 D283:F283 C280:F280 C282:F282">
    <cfRule type="expression" dxfId="1411" priority="46">
      <formula>$A$2="PRINT"</formula>
    </cfRule>
  </conditionalFormatting>
  <conditionalFormatting sqref="D301:F301 D303:F303 C300:F300 C302:F302">
    <cfRule type="expression" dxfId="1410" priority="43">
      <formula>$A$2="PRINT"</formula>
    </cfRule>
  </conditionalFormatting>
  <conditionalFormatting sqref="D295:F295 D297:F297 C294:F294 C296:F296">
    <cfRule type="expression" dxfId="1409" priority="44">
      <formula>$A$2="PRINT"</formula>
    </cfRule>
  </conditionalFormatting>
  <conditionalFormatting sqref="D52 D54 C51:D51 C53:D53 K53 K51 G54:J54 G52:J52 E51:F54">
    <cfRule type="expression" dxfId="1408" priority="40">
      <formula>$A$2="PRINT"</formula>
    </cfRule>
  </conditionalFormatting>
  <conditionalFormatting sqref="D72 D74 C71:D71 C73:D73 K73 K71 G74:J74 G72:J72 E71:F74">
    <cfRule type="expression" dxfId="1407" priority="39">
      <formula>$A$2="PRINT"</formula>
    </cfRule>
  </conditionalFormatting>
  <conditionalFormatting sqref="D92 D94 C91:D91 C93:D93 K93 K91 G94:J94 G92:J92 E91:F94">
    <cfRule type="expression" dxfId="1406" priority="38">
      <formula>$A$2="PRINT"</formula>
    </cfRule>
  </conditionalFormatting>
  <conditionalFormatting sqref="G295:J295 G297:J297">
    <cfRule type="expression" dxfId="1405" priority="29">
      <formula>$A$2="PRINT"</formula>
    </cfRule>
  </conditionalFormatting>
  <conditionalFormatting sqref="G135:J135 G137:J137">
    <cfRule type="expression" dxfId="1404" priority="37">
      <formula>$A$2="PRINT"</formula>
    </cfRule>
  </conditionalFormatting>
  <conditionalFormatting sqref="G155:J155 G157:J157">
    <cfRule type="expression" dxfId="1403" priority="36">
      <formula>$A$2="PRINT"</formula>
    </cfRule>
  </conditionalFormatting>
  <conditionalFormatting sqref="G175:J175 G177:J177">
    <cfRule type="expression" dxfId="1402" priority="35">
      <formula>$A$2="PRINT"</formula>
    </cfRule>
  </conditionalFormatting>
  <conditionalFormatting sqref="G195:J195 G197:J197">
    <cfRule type="expression" dxfId="1401" priority="34">
      <formula>$A$2="PRINT"</formula>
    </cfRule>
  </conditionalFormatting>
  <conditionalFormatting sqref="G215:J215 G217:J217">
    <cfRule type="expression" dxfId="1400" priority="33">
      <formula>$A$2="PRINT"</formula>
    </cfRule>
  </conditionalFormatting>
  <conditionalFormatting sqref="G235:J235 G237:J237">
    <cfRule type="expression" dxfId="1399" priority="32">
      <formula>$A$2="PRINT"</formula>
    </cfRule>
  </conditionalFormatting>
  <conditionalFormatting sqref="G255:J255 G257:J257">
    <cfRule type="expression" dxfId="1398" priority="31">
      <formula>$A$2="PRINT"</formula>
    </cfRule>
  </conditionalFormatting>
  <conditionalFormatting sqref="G275:J275 G277:J277">
    <cfRule type="expression" dxfId="1397" priority="30">
      <formula>$A$2="PRINT"</formula>
    </cfRule>
  </conditionalFormatting>
  <conditionalFormatting sqref="G31:J31">
    <cfRule type="expression" dxfId="1396" priority="28">
      <formula>$A$2="PRINT"</formula>
    </cfRule>
  </conditionalFormatting>
  <conditionalFormatting sqref="G33:J33">
    <cfRule type="expression" dxfId="1395" priority="27">
      <formula>$A$2="PRINT"</formula>
    </cfRule>
  </conditionalFormatting>
  <conditionalFormatting sqref="G51:J51">
    <cfRule type="expression" dxfId="1394" priority="26">
      <formula>$A$2="PRINT"</formula>
    </cfRule>
  </conditionalFormatting>
  <conditionalFormatting sqref="G53:J53">
    <cfRule type="expression" dxfId="1393" priority="25">
      <formula>$A$2="PRINT"</formula>
    </cfRule>
  </conditionalFormatting>
  <conditionalFormatting sqref="G71:J71">
    <cfRule type="expression" dxfId="1392" priority="24">
      <formula>$A$2="PRINT"</formula>
    </cfRule>
  </conditionalFormatting>
  <conditionalFormatting sqref="G73:J73">
    <cfRule type="expression" dxfId="1391" priority="23">
      <formula>$A$2="PRINT"</formula>
    </cfRule>
  </conditionalFormatting>
  <conditionalFormatting sqref="G91:J91">
    <cfRule type="expression" dxfId="1390" priority="22">
      <formula>$A$2="PRINT"</formula>
    </cfRule>
  </conditionalFormatting>
  <conditionalFormatting sqref="G93:J93">
    <cfRule type="expression" dxfId="1389" priority="21">
      <formula>$A$2="PRINT"</formula>
    </cfRule>
  </conditionalFormatting>
  <conditionalFormatting sqref="G134:J134">
    <cfRule type="expression" dxfId="1388" priority="20">
      <formula>$A$2="PRINT"</formula>
    </cfRule>
  </conditionalFormatting>
  <conditionalFormatting sqref="G136:J136">
    <cfRule type="expression" dxfId="1387" priority="19">
      <formula>$A$2="PRINT"</formula>
    </cfRule>
  </conditionalFormatting>
  <conditionalFormatting sqref="G154:J154">
    <cfRule type="expression" dxfId="1386" priority="18">
      <formula>$A$2="PRINT"</formula>
    </cfRule>
  </conditionalFormatting>
  <conditionalFormatting sqref="G156:J156">
    <cfRule type="expression" dxfId="1385" priority="17">
      <formula>$A$2="PRINT"</formula>
    </cfRule>
  </conditionalFormatting>
  <conditionalFormatting sqref="G174:J174">
    <cfRule type="expression" dxfId="1384" priority="16">
      <formula>$A$2="PRINT"</formula>
    </cfRule>
  </conditionalFormatting>
  <conditionalFormatting sqref="G176:J176">
    <cfRule type="expression" dxfId="1383" priority="15">
      <formula>$A$2="PRINT"</formula>
    </cfRule>
  </conditionalFormatting>
  <conditionalFormatting sqref="G194:J194">
    <cfRule type="expression" dxfId="1382" priority="14">
      <formula>$A$2="PRINT"</formula>
    </cfRule>
  </conditionalFormatting>
  <conditionalFormatting sqref="G196:J196">
    <cfRule type="expression" dxfId="1381" priority="11">
      <formula>$A$2="PRINT"</formula>
    </cfRule>
  </conditionalFormatting>
  <conditionalFormatting sqref="G214:J214">
    <cfRule type="expression" dxfId="1380" priority="10">
      <formula>$A$2="PRINT"</formula>
    </cfRule>
  </conditionalFormatting>
  <conditionalFormatting sqref="G216:J216">
    <cfRule type="expression" dxfId="1379" priority="9">
      <formula>$A$2="PRINT"</formula>
    </cfRule>
  </conditionalFormatting>
  <conditionalFormatting sqref="G234:J234">
    <cfRule type="expression" dxfId="1378" priority="8">
      <formula>$A$2="PRINT"</formula>
    </cfRule>
  </conditionalFormatting>
  <conditionalFormatting sqref="G236:J236">
    <cfRule type="expression" dxfId="1377" priority="7">
      <formula>$A$2="PRINT"</formula>
    </cfRule>
  </conditionalFormatting>
  <conditionalFormatting sqref="G254:J254">
    <cfRule type="expression" dxfId="1376" priority="6">
      <formula>$A$2="PRINT"</formula>
    </cfRule>
  </conditionalFormatting>
  <conditionalFormatting sqref="G256:J256">
    <cfRule type="expression" dxfId="1375" priority="5">
      <formula>$A$2="PRINT"</formula>
    </cfRule>
  </conditionalFormatting>
  <conditionalFormatting sqref="G274:J274">
    <cfRule type="expression" dxfId="1374" priority="4">
      <formula>$A$2="PRINT"</formula>
    </cfRule>
  </conditionalFormatting>
  <conditionalFormatting sqref="G276:J276">
    <cfRule type="expression" dxfId="1373" priority="3">
      <formula>$A$2="PRINT"</formula>
    </cfRule>
  </conditionalFormatting>
  <conditionalFormatting sqref="G294:J294">
    <cfRule type="expression" dxfId="1372" priority="2">
      <formula>$A$2="PRINT"</formula>
    </cfRule>
  </conditionalFormatting>
  <conditionalFormatting sqref="G296:J296">
    <cfRule type="expression" dxfId="1371" priority="1">
      <formula>$A$2="PRINT"</formula>
    </cfRule>
  </conditionalFormatting>
  <pageMargins left="0.70866141732283472" right="0.70866141732283472" top="0.74803149606299213" bottom="0.74803149606299213" header="0.31496062992125984" footer="0.31496062992125984"/>
  <pageSetup paperSize="9" scale="72" fitToHeight="0" pageOrder="overThenDown"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0000000}">
          <x14:formula1>
            <xm:f>OFFSET('Dynamic lists'!$S$5,,,'Dynamic lists'!$T$5)</xm:f>
          </x14:formula1>
          <xm:sqref>C8:K8 C88:K88 C68:K68 C48:K48 C28:K28</xm:sqref>
        </x14:dataValidation>
        <x14:dataValidation type="list" allowBlank="1" showInputMessage="1" showErrorMessage="1" xr:uid="{00000000-0002-0000-0600-000001000000}">
          <x14:formula1>
            <xm:f>OFFSET('Dynamic lists'!$V$5,,,'Dynamic lists'!$W$5)</xm:f>
          </x14:formula1>
          <xm:sqref>C111:K111 C131:K131 C251:K251 C271:K271 C151:K151 C171:K171 C191:K191 C211:K211 C231:K231 C291:K291</xm:sqref>
        </x14:dataValidation>
      </x14:dataValidation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16">
    <tabColor rgb="FF339966"/>
  </sheetPr>
  <dimension ref="A1"/>
  <sheetViews>
    <sheetView workbookViewId="0">
      <selection activeCell="G13" sqref="G13"/>
    </sheetView>
  </sheetViews>
  <sheetFormatPr defaultRowHeight="15"/>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5">
    <tabColor rgb="FF339966"/>
  </sheetPr>
  <dimension ref="A1:W112"/>
  <sheetViews>
    <sheetView workbookViewId="0">
      <pane ySplit="4" topLeftCell="A5" activePane="bottomLeft" state="frozen"/>
      <selection activeCell="A5" sqref="A5"/>
      <selection pane="bottomLeft" activeCell="B2" sqref="B2"/>
    </sheetView>
  </sheetViews>
  <sheetFormatPr defaultRowHeight="15"/>
  <cols>
    <col min="1" max="1" width="8" customWidth="1"/>
    <col min="6" max="6" width="14.42578125" customWidth="1"/>
    <col min="7" max="7" width="9.140625" customWidth="1"/>
    <col min="8" max="8" width="11.28515625" customWidth="1"/>
    <col min="9" max="9" width="15" customWidth="1"/>
    <col min="10" max="10" width="5.7109375" customWidth="1"/>
    <col min="11" max="12" width="16.28515625" bestFit="1" customWidth="1"/>
    <col min="13" max="13" width="10" customWidth="1"/>
    <col min="14" max="14" width="5.28515625" customWidth="1"/>
    <col min="15" max="16" width="16.28515625" bestFit="1" customWidth="1"/>
    <col min="17" max="17" width="7.140625" customWidth="1"/>
    <col min="18" max="19" width="16.28515625" bestFit="1" customWidth="1"/>
    <col min="20" max="20" width="7.42578125" customWidth="1"/>
    <col min="21" max="43" width="16.28515625" bestFit="1" customWidth="1"/>
    <col min="44" max="44" width="11.28515625" bestFit="1" customWidth="1"/>
  </cols>
  <sheetData>
    <row r="1" spans="1:23">
      <c r="A1" s="101" t="s">
        <v>222</v>
      </c>
      <c r="F1" t="s">
        <v>567</v>
      </c>
      <c r="I1" t="s">
        <v>640</v>
      </c>
      <c r="L1" t="s">
        <v>639</v>
      </c>
      <c r="P1" t="s">
        <v>698</v>
      </c>
      <c r="S1" t="s">
        <v>1039</v>
      </c>
      <c r="V1" t="s">
        <v>1040</v>
      </c>
    </row>
    <row r="3" spans="1:23">
      <c r="F3" s="69" t="s">
        <v>1041</v>
      </c>
      <c r="L3" s="69" t="s">
        <v>1042</v>
      </c>
      <c r="P3" s="69" t="s">
        <v>1043</v>
      </c>
      <c r="S3" s="69" t="s">
        <v>1044</v>
      </c>
      <c r="V3" s="69" t="s">
        <v>1045</v>
      </c>
    </row>
    <row r="4" spans="1:23">
      <c r="B4" t="s">
        <v>893</v>
      </c>
      <c r="F4" t="s">
        <v>641</v>
      </c>
      <c r="G4" t="s">
        <v>361</v>
      </c>
      <c r="I4" t="s">
        <v>642</v>
      </c>
      <c r="J4" t="s">
        <v>361</v>
      </c>
      <c r="L4" t="s">
        <v>643</v>
      </c>
      <c r="P4" t="s">
        <v>699</v>
      </c>
    </row>
    <row r="5" spans="1:23">
      <c r="B5" s="369" t="str">
        <f t="shared" ref="B5:B68" ca="1" si="0">IF(OR(D5=0,D5="Additional Comments"),"",D5)</f>
        <v/>
      </c>
      <c r="C5" s="70" t="str">
        <f ca="1">$B5&amp;IF($B5="","","-")&amp;IF(ROWS($B$5:C5)&lt;=Nb_Airports_80000,INDEX(OFFSET('1.4 List of airports'!$C$8,,,Nb_Airports_80000),ROWS($B$5:C5)),INDIRECT("'1.4 List of airports'!c"&amp;32+ROWS($B$5:C5)-Nb_Airports_80000))</f>
        <v/>
      </c>
      <c r="D5">
        <f ca="1">IF(ROWS($B$5:B5)&lt;=Nb_Airports_80000,INDEX(OFFSET('1.4 List of airports'!$B$8,,,Nb_Airports_80000),ROWS($B$5:B5)),INDIRECT("'1.4 List of airports'!B"&amp;32+ROWS($B$5:B5)-Nb_Airports_80000))</f>
        <v>0</v>
      </c>
      <c r="F5" s="70" t="s">
        <v>240</v>
      </c>
      <c r="G5">
        <f>'1.1 The situation'!$E$88+1</f>
        <v>1</v>
      </c>
      <c r="I5" s="70" t="s">
        <v>240</v>
      </c>
      <c r="J5">
        <f>'1.1 The situation'!$E$80+1</f>
        <v>2</v>
      </c>
      <c r="L5" s="70" t="str">
        <f t="shared" ref="L5:L15" ca="1" si="1">IF(ROW(K1)&lt;=$J$5,$I5,INDIRECT(MID(CELL("address",$F$5),2,2)&amp;ROW(K1)-$J$5+5))</f>
        <v>Click to select</v>
      </c>
      <c r="M5" s="70" t="s">
        <v>227</v>
      </c>
      <c r="N5">
        <f>+G5+J5-1</f>
        <v>2</v>
      </c>
      <c r="P5" s="70" t="str">
        <f ca="1">IF(ROW(O1)&lt;=$J$5,$I5,INDIRECT("ad"&amp;ROW(O1)-$J$5+5))</f>
        <v>Click to select</v>
      </c>
      <c r="Q5">
        <f>'1.1 The situation'!$C$10+1</f>
        <v>3</v>
      </c>
      <c r="S5" s="70" t="s">
        <v>412</v>
      </c>
      <c r="T5">
        <f>COUNTA($S$5:$S$15)-COUNTIF($S$5:$S$15,"")</f>
        <v>3</v>
      </c>
      <c r="V5" s="70" t="s">
        <v>412</v>
      </c>
      <c r="W5">
        <f>COUNTA($S$5:$S$15)-COUNTIF($S$5:$S$15,"")</f>
        <v>3</v>
      </c>
    </row>
    <row r="6" spans="1:23">
      <c r="B6" s="369" t="str">
        <f t="shared" ca="1" si="0"/>
        <v/>
      </c>
      <c r="C6" s="70" t="str">
        <f ca="1">$B6&amp;IF($B6="","","-")&amp;IF(ROWS($B$5:C6)&lt;=Nb_Airports_80000,INDEX(OFFSET('1.4 List of airports'!$C$8,,,Nb_Airports_80000),ROWS($B$5:C6)),INDIRECT("'1.4 List of airports'!c"&amp;32+ROWS($B$5:C6)-Nb_Airports_80000))</f>
        <v/>
      </c>
      <c r="D6">
        <f ca="1">IF(ROWS($B$5:B6)&lt;=Nb_Airports_80000,INDEX(OFFSET('1.4 List of airports'!$B$8,,,Nb_Airports_80000),ROWS($B$5:B6)),INDIRECT("'1.4 List of airports'!B"&amp;32+ROWS($B$5:B6)-Nb_Airports_80000))</f>
        <v>0</v>
      </c>
      <c r="F6" s="70" t="str">
        <f>IF('1.1 The situation'!$C90&lt;&gt;"",'1.1 The situation'!$C90,"")</f>
        <v/>
      </c>
      <c r="I6" s="70" t="str">
        <f>IF('1.1 The situation'!$C82&lt;&gt;"",'1.1 The situation'!$C82,"")</f>
        <v>Cyprus</v>
      </c>
      <c r="L6" s="70" t="str">
        <f t="shared" ca="1" si="1"/>
        <v>Cyprus</v>
      </c>
      <c r="M6" s="70" t="str">
        <f t="shared" ref="M6:M15" ca="1" si="2">IF(L6="","",IF(ROW(K2)&lt;=$J$5,"En-route","Terminal"))</f>
        <v>En-route</v>
      </c>
      <c r="P6" s="70" t="str">
        <f>IF('1.1 The situation'!$B13&lt;&gt;"",'1.1 The situation'!$B13,"")</f>
        <v>DCAC Cyprus</v>
      </c>
      <c r="S6" s="70" t="str">
        <f>IF(STATFOR_Data!$A4="-","Local forecast",IF(STATFOR_Data!$A4="","","STATFOR Base forecast "&amp;RIGHT(STATFOR_Data!$A4,3)&amp;" 2021 (Flight Plan 2017-19, Actual Route 2020-2024)"))</f>
        <v>STATFOR Base forecast MAY 2021 (Flight Plan 2017-19, Actual Route 2020-2024)</v>
      </c>
      <c r="V6" s="70" t="str">
        <f>IF(STATFOR_Data!$B4="-","Local forecast",IF(STATFOR_Data!$B4="","","STATFOR Base forecast "&amp;RIGHT(STATFOR_Data!$B4,3)&amp;" 2021"))</f>
        <v>STATFOR Base forecast MAY 2021</v>
      </c>
    </row>
    <row r="7" spans="1:23">
      <c r="B7" s="369" t="str">
        <f t="shared" ca="1" si="0"/>
        <v/>
      </c>
      <c r="C7" s="70" t="str">
        <f ca="1">$B7&amp;IF($B7="","","-")&amp;IF(ROWS($B$5:C7)&lt;=Nb_Airports_80000,INDEX(OFFSET('1.4 List of airports'!$C$8,,,Nb_Airports_80000),ROWS($B$5:C7)),INDIRECT("'1.4 List of airports'!c"&amp;32+ROWS($B$5:C7)-Nb_Airports_80000))</f>
        <v/>
      </c>
      <c r="D7">
        <f ca="1">IF(ROWS($B$5:B7)&lt;=Nb_Airports_80000,INDEX(OFFSET('1.4 List of airports'!$B$8,,,Nb_Airports_80000),ROWS($B$5:B7)),INDIRECT("'1.4 List of airports'!B"&amp;32+ROWS($B$5:B7)-Nb_Airports_80000))</f>
        <v>0</v>
      </c>
      <c r="F7" s="70" t="str">
        <f>IF('1.1 The situation'!$C91&lt;&gt;"",'1.1 The situation'!$C91,"")</f>
        <v/>
      </c>
      <c r="I7" s="70" t="str">
        <f>IF('1.1 The situation'!$C83&lt;&gt;"",'1.1 The situation'!$C83,"")</f>
        <v/>
      </c>
      <c r="L7" s="70" t="str">
        <f t="shared" ca="1" si="1"/>
        <v/>
      </c>
      <c r="M7" s="70" t="str">
        <f t="shared" ca="1" si="2"/>
        <v/>
      </c>
      <c r="P7" s="70" t="str">
        <f>IF('1.1 The situation'!$B14&lt;&gt;"",'1.1 The situation'!$B14,"")</f>
        <v>Department of Meteorology of the Ministry of Agriculture and Natural resources of the republic of Cyprus.</v>
      </c>
      <c r="S7" s="70" t="str">
        <f>IF(STATFOR_Data!$A5="-","Local forecast",IF(STATFOR_Data!$A5="","","STATFOR Base forecast "&amp;RIGHT(STATFOR_Data!$A5,3)&amp;" 2021 (Flight Plan 2017-19, Actual Route 2020-2024)"))</f>
        <v>Local forecast</v>
      </c>
      <c r="V7" s="70" t="str">
        <f>IF(STATFOR_Data!$B5="-","Local forecast",IF(STATFOR_Data!$B5="","","STATFOR Base forecast "&amp;RIGHT(STATFOR_Data!$B5,3)&amp;" 2021"))</f>
        <v>Local forecast</v>
      </c>
    </row>
    <row r="8" spans="1:23">
      <c r="B8" s="369" t="str">
        <f t="shared" ca="1" si="0"/>
        <v/>
      </c>
      <c r="C8" s="70" t="str">
        <f ca="1">$B8&amp;IF($B8="","","-")&amp;IF(ROWS($B$5:C8)&lt;=Nb_Airports_80000,INDEX(OFFSET('1.4 List of airports'!$C$8,,,Nb_Airports_80000),ROWS($B$5:C8)),INDIRECT("'1.4 List of airports'!c"&amp;32+ROWS($B$5:C8)-Nb_Airports_80000))</f>
        <v/>
      </c>
      <c r="D8">
        <f ca="1">IF(ROWS($B$5:B8)&lt;=Nb_Airports_80000,INDEX(OFFSET('1.4 List of airports'!$B$8,,,Nb_Airports_80000),ROWS($B$5:B8)),INDIRECT("'1.4 List of airports'!B"&amp;32+ROWS($B$5:B8)-Nb_Airports_80000))</f>
        <v>0</v>
      </c>
      <c r="F8" s="70" t="str">
        <f>IF('1.1 The situation'!$C92&lt;&gt;"",'1.1 The situation'!$C92,"")</f>
        <v/>
      </c>
      <c r="I8" s="70" t="str">
        <f>IF('1.1 The situation'!$C84&lt;&gt;"",'1.1 The situation'!$C84,"")</f>
        <v/>
      </c>
      <c r="L8" s="70" t="str">
        <f t="shared" ca="1" si="1"/>
        <v/>
      </c>
      <c r="M8" s="70" t="str">
        <f t="shared" ca="1" si="2"/>
        <v/>
      </c>
      <c r="P8" s="70" t="str">
        <f>IF('1.1 The situation'!$B15&lt;&gt;"",'1.1 The situation'!$B15,"")</f>
        <v/>
      </c>
      <c r="S8" s="70" t="str">
        <f>IF(STATFOR_Data!$A6="-","Local forecast",IF(STATFOR_Data!$A6="","","STATFOR Base forecast "&amp;RIGHT(STATFOR_Data!$A6,3)&amp;" 2021 (Flight Plan 2017-19, Actual Route 2020-2024)"))</f>
        <v/>
      </c>
      <c r="V8" s="70" t="str">
        <f>IF(STATFOR_Data!$B6="-","Local forecast",IF(STATFOR_Data!$B6="","","STATFOR Base forecast "&amp;RIGHT(STATFOR_Data!$B6,3)&amp;" 2021"))</f>
        <v/>
      </c>
    </row>
    <row r="9" spans="1:23">
      <c r="B9" s="369" t="str">
        <f t="shared" ca="1" si="0"/>
        <v/>
      </c>
      <c r="C9" s="70" t="str">
        <f ca="1">$B9&amp;IF($B9="","","-")&amp;IF(ROWS($B$5:C9)&lt;=Nb_Airports_80000,INDEX(OFFSET('1.4 List of airports'!$C$8,,,Nb_Airports_80000),ROWS($B$5:C9)),INDIRECT("'1.4 List of airports'!c"&amp;32+ROWS($B$5:C9)-Nb_Airports_80000))</f>
        <v/>
      </c>
      <c r="D9">
        <f ca="1">IF(ROWS($B$5:B9)&lt;=Nb_Airports_80000,INDEX(OFFSET('1.4 List of airports'!$B$8,,,Nb_Airports_80000),ROWS($B$5:B9)),INDIRECT("'1.4 List of airports'!B"&amp;32+ROWS($B$5:B9)-Nb_Airports_80000))</f>
        <v>0</v>
      </c>
      <c r="F9" s="70" t="str">
        <f>IF('1.1 The situation'!$C93&lt;&gt;"",'1.1 The situation'!$C93,"")</f>
        <v/>
      </c>
      <c r="I9" s="70" t="str">
        <f>IF('1.1 The situation'!$C85&lt;&gt;"",'1.1 The situation'!$C85,"")</f>
        <v/>
      </c>
      <c r="L9" s="70" t="str">
        <f t="shared" ca="1" si="1"/>
        <v/>
      </c>
      <c r="M9" s="70" t="str">
        <f t="shared" ca="1" si="2"/>
        <v/>
      </c>
      <c r="P9" s="70" t="str">
        <f>IF('1.1 The situation'!$B16&lt;&gt;"",'1.1 The situation'!$B16,"")</f>
        <v/>
      </c>
      <c r="S9" s="70" t="str">
        <f>IF(STATFOR_Data!$A7="-","Local forecast",IF(STATFOR_Data!$A7="","","STATFOR Base forecast "&amp;RIGHT(STATFOR_Data!$A7,3)&amp;" 2021 (Flight Plan 2017-19, Actual Route 2020-2024)"))</f>
        <v/>
      </c>
      <c r="V9" s="70" t="str">
        <f>IF(STATFOR_Data!$B7="-","Local forecast",IF(STATFOR_Data!$B7="","","STATFOR Base forecast "&amp;RIGHT(STATFOR_Data!$B7,3)&amp;" 2021"))</f>
        <v/>
      </c>
    </row>
    <row r="10" spans="1:23">
      <c r="B10" s="369" t="str">
        <f t="shared" ca="1" si="0"/>
        <v/>
      </c>
      <c r="C10" s="70" t="str">
        <f ca="1">$B10&amp;IF($B10="","","-")&amp;IF(ROWS($B$5:C10)&lt;=Nb_Airports_80000,INDEX(OFFSET('1.4 List of airports'!$C$8,,,Nb_Airports_80000),ROWS($B$5:C10)),INDIRECT("'1.4 List of airports'!c"&amp;32+ROWS($B$5:C10)-Nb_Airports_80000))</f>
        <v/>
      </c>
      <c r="D10">
        <f ca="1">IF(ROWS($B$5:B10)&lt;=Nb_Airports_80000,INDEX(OFFSET('1.4 List of airports'!$B$8,,,Nb_Airports_80000),ROWS($B$5:B10)),INDIRECT("'1.4 List of airports'!B"&amp;32+ROWS($B$5:B10)-Nb_Airports_80000))</f>
        <v>0</v>
      </c>
      <c r="F10" s="70" t="str">
        <f>IF('1.1 The situation'!$C94&lt;&gt;"",'1.1 The situation'!$C94,"")</f>
        <v/>
      </c>
      <c r="I10" s="70" t="str">
        <f>IF('1.1 The situation'!$C86&lt;&gt;"",'1.1 The situation'!$C86,"")</f>
        <v/>
      </c>
      <c r="L10" s="70" t="str">
        <f t="shared" ca="1" si="1"/>
        <v/>
      </c>
      <c r="M10" s="70" t="str">
        <f t="shared" ca="1" si="2"/>
        <v/>
      </c>
      <c r="P10" s="70" t="str">
        <f>IF('1.1 The situation'!$B17&lt;&gt;"",'1.1 The situation'!$B17,"")</f>
        <v/>
      </c>
      <c r="S10" s="70" t="str">
        <f>IF(STATFOR_Data!$A8="-","Local forecast",IF(STATFOR_Data!$A8="","","STATFOR Base forecast "&amp;RIGHT(STATFOR_Data!$A8,3)&amp;" 2021 (Flight Plan 2017-19, Actual Route 2020-2024)"))</f>
        <v/>
      </c>
      <c r="V10" s="70" t="str">
        <f>IF(STATFOR_Data!$B8="-","Local forecast",IF(STATFOR_Data!$B8="","","STATFOR Base forecast "&amp;RIGHT(STATFOR_Data!$B8,3)&amp;" 2021"))</f>
        <v/>
      </c>
    </row>
    <row r="11" spans="1:23">
      <c r="B11" s="369" t="str">
        <f t="shared" ca="1" si="0"/>
        <v/>
      </c>
      <c r="C11" s="70" t="str">
        <f ca="1">$B11&amp;IF($B11="","","-")&amp;IF(ROWS($B$5:C11)&lt;=Nb_Airports_80000,INDEX(OFFSET('1.4 List of airports'!$C$8,,,Nb_Airports_80000),ROWS($B$5:C11)),INDIRECT("'1.4 List of airports'!c"&amp;32+ROWS($B$5:C11)-Nb_Airports_80000))</f>
        <v/>
      </c>
      <c r="D11">
        <f ca="1">IF(ROWS($B$5:B11)&lt;=Nb_Airports_80000,INDEX(OFFSET('1.4 List of airports'!$B$8,,,Nb_Airports_80000),ROWS($B$5:B11)),INDIRECT("'1.4 List of airports'!B"&amp;32+ROWS($B$5:B11)-Nb_Airports_80000))</f>
        <v>0</v>
      </c>
      <c r="F11" s="70" t="str">
        <f>IF('1.1 The situation'!$C95&lt;&gt;"",'1.1 The situation'!$C95,"")</f>
        <v/>
      </c>
      <c r="L11" s="70" t="str">
        <f t="shared" ca="1" si="1"/>
        <v/>
      </c>
      <c r="M11" s="70" t="str">
        <f t="shared" ca="1" si="2"/>
        <v/>
      </c>
      <c r="P11" s="70" t="str">
        <f>IF('1.1 The situation'!$B18&lt;&gt;"",'1.1 The situation'!$B18,"")</f>
        <v/>
      </c>
      <c r="S11" s="70" t="str">
        <f>IF(STATFOR_Data!$A9="-","Local forecast",IF(STATFOR_Data!$A9="","","STATFOR Base forecast "&amp;RIGHT(STATFOR_Data!$A9,3)&amp;" 2021 (Flight Plan 2017-19, Actual Route 2020-2024)"))</f>
        <v/>
      </c>
      <c r="V11" s="70" t="str">
        <f>IF(STATFOR_Data!$B9="-","Local forecast",IF(STATFOR_Data!$B9="","","STATFOR Base forecast "&amp;RIGHT(STATFOR_Data!$B9,3)&amp;" 2021"))</f>
        <v/>
      </c>
    </row>
    <row r="12" spans="1:23">
      <c r="B12" s="369" t="str">
        <f t="shared" ca="1" si="0"/>
        <v/>
      </c>
      <c r="C12" s="70" t="str">
        <f ca="1">$B12&amp;IF($B12="","","-")&amp;IF(ROWS($B$5:C12)&lt;=Nb_Airports_80000,INDEX(OFFSET('1.4 List of airports'!$C$8,,,Nb_Airports_80000),ROWS($B$5:C12)),INDIRECT("'1.4 List of airports'!c"&amp;32+ROWS($B$5:C12)-Nb_Airports_80000))</f>
        <v/>
      </c>
      <c r="D12">
        <f ca="1">IF(ROWS($B$5:B12)&lt;=Nb_Airports_80000,INDEX(OFFSET('1.4 List of airports'!$B$8,,,Nb_Airports_80000),ROWS($B$5:B12)),INDIRECT("'1.4 List of airports'!B"&amp;32+ROWS($B$5:B12)-Nb_Airports_80000))</f>
        <v>0</v>
      </c>
      <c r="F12" s="70" t="str">
        <f>IF('1.1 The situation'!$C96&lt;&gt;"",'1.1 The situation'!$C96,"")</f>
        <v/>
      </c>
      <c r="L12" s="70" t="str">
        <f t="shared" ca="1" si="1"/>
        <v/>
      </c>
      <c r="M12" s="70" t="str">
        <f t="shared" ca="1" si="2"/>
        <v/>
      </c>
      <c r="P12" s="70" t="str">
        <f>IF('1.1 The situation'!$B19&lt;&gt;"",'1.1 The situation'!$B19,"")</f>
        <v/>
      </c>
      <c r="S12" s="70" t="str">
        <f>IF(STATFOR_Data!$A10="-","Local forecast",IF(STATFOR_Data!$A10="","","STATFOR Base forecast "&amp;RIGHT(STATFOR_Data!$A10,3)&amp;" 2021 (Flight Plan 2017-19, Actual Route 2020-2024)"))</f>
        <v/>
      </c>
      <c r="V12" s="70" t="str">
        <f>IF(STATFOR_Data!$B10="-","Local forecast",IF(STATFOR_Data!$B10="","","STATFOR Base forecast "&amp;RIGHT(STATFOR_Data!$B10,3)&amp;" 2021"))</f>
        <v/>
      </c>
    </row>
    <row r="13" spans="1:23">
      <c r="B13" s="369" t="str">
        <f t="shared" ca="1" si="0"/>
        <v/>
      </c>
      <c r="C13" s="70" t="str">
        <f ca="1">$B13&amp;IF($B13="","","-")&amp;IF(ROWS($B$5:C13)&lt;=Nb_Airports_80000,INDEX(OFFSET('1.4 List of airports'!$C$8,,,Nb_Airports_80000),ROWS($B$5:C13)),INDIRECT("'1.4 List of airports'!c"&amp;32+ROWS($B$5:C13)-Nb_Airports_80000))</f>
        <v/>
      </c>
      <c r="D13">
        <f ca="1">IF(ROWS($B$5:B13)&lt;=Nb_Airports_80000,INDEX(OFFSET('1.4 List of airports'!$B$8,,,Nb_Airports_80000),ROWS($B$5:B13)),INDIRECT("'1.4 List of airports'!B"&amp;32+ROWS($B$5:B13)-Nb_Airports_80000))</f>
        <v>0</v>
      </c>
      <c r="F13" s="70" t="str">
        <f>IF('1.1 The situation'!$C97&lt;&gt;"",'1.1 The situation'!$C97,"")</f>
        <v/>
      </c>
      <c r="L13" s="70" t="str">
        <f t="shared" ca="1" si="1"/>
        <v/>
      </c>
      <c r="M13" s="70" t="str">
        <f t="shared" ca="1" si="2"/>
        <v/>
      </c>
      <c r="P13" s="70" t="str">
        <f>IF('1.1 The situation'!$B20&lt;&gt;"",'1.1 The situation'!$B20,"")</f>
        <v/>
      </c>
      <c r="S13" s="70" t="str">
        <f>IF(STATFOR_Data!$A11="-","Local forecast",IF(STATFOR_Data!$A11="","","STATFOR Base forecast "&amp;RIGHT(STATFOR_Data!$A11,3)&amp;" 2021 (Flight Plan 2017-19, Actual Route 2020-2024)"))</f>
        <v/>
      </c>
      <c r="V13" s="70" t="str">
        <f>IF(STATFOR_Data!$B11="-","Local forecast",IF(STATFOR_Data!$B11="","","STATFOR Base forecast "&amp;RIGHT(STATFOR_Data!$B11,3)&amp;" 2021"))</f>
        <v/>
      </c>
    </row>
    <row r="14" spans="1:23">
      <c r="B14" s="369" t="str">
        <f t="shared" ca="1" si="0"/>
        <v/>
      </c>
      <c r="C14" s="70" t="str">
        <f ca="1">$B14&amp;IF($B14="","","-")&amp;IF(ROWS($B$5:C14)&lt;=Nb_Airports_80000,INDEX(OFFSET('1.4 List of airports'!$C$8,,,Nb_Airports_80000),ROWS($B$5:C14)),INDIRECT("'1.4 List of airports'!c"&amp;32+ROWS($B$5:C14)-Nb_Airports_80000))</f>
        <v/>
      </c>
      <c r="D14">
        <f ca="1">IF(ROWS($B$5:B14)&lt;=Nb_Airports_80000,INDEX(OFFSET('1.4 List of airports'!$B$8,,,Nb_Airports_80000),ROWS($B$5:B14)),INDIRECT("'1.4 List of airports'!B"&amp;32+ROWS($B$5:B14)-Nb_Airports_80000))</f>
        <v>0</v>
      </c>
      <c r="F14" s="70" t="str">
        <f>IF('1.1 The situation'!$C98&lt;&gt;"",'1.1 The situation'!$C98,"")</f>
        <v/>
      </c>
      <c r="L14" s="70" t="str">
        <f t="shared" ca="1" si="1"/>
        <v/>
      </c>
      <c r="M14" s="70" t="str">
        <f t="shared" ca="1" si="2"/>
        <v/>
      </c>
      <c r="P14" s="70" t="str">
        <f>IF('1.1 The situation'!$B21&lt;&gt;"",'1.1 The situation'!$B21,"")</f>
        <v/>
      </c>
      <c r="S14" s="70" t="str">
        <f>IF(STATFOR_Data!$A12="-","Local forecast",IF(STATFOR_Data!$A12="","","STATFOR Base forecast "&amp;RIGHT(STATFOR_Data!$A12,3)&amp;" 2021 (Flight Plan 2017-19, Actual Route 2020-2024)"))</f>
        <v/>
      </c>
      <c r="V14" s="70" t="str">
        <f>IF(STATFOR_Data!$B12="-","Local forecast",IF(STATFOR_Data!$B12="","","STATFOR Base forecast "&amp;RIGHT(STATFOR_Data!$B12,3)&amp;" 2021"))</f>
        <v/>
      </c>
    </row>
    <row r="15" spans="1:23">
      <c r="B15" s="369" t="str">
        <f t="shared" ca="1" si="0"/>
        <v/>
      </c>
      <c r="C15" s="70" t="str">
        <f ca="1">$B15&amp;IF($B15="","","-")&amp;IF(ROWS($B$5:C15)&lt;=Nb_Airports_80000,INDEX(OFFSET('1.4 List of airports'!$C$8,,,Nb_Airports_80000),ROWS($B$5:C15)),INDIRECT("'1.4 List of airports'!c"&amp;32+ROWS($B$5:C15)-Nb_Airports_80000))</f>
        <v/>
      </c>
      <c r="D15">
        <f ca="1">IF(ROWS($B$5:B15)&lt;=Nb_Airports_80000,INDEX(OFFSET('1.4 List of airports'!$B$8,,,Nb_Airports_80000),ROWS($B$5:B15)),INDIRECT("'1.4 List of airports'!B"&amp;32+ROWS($B$5:B15)-Nb_Airports_80000))</f>
        <v>0</v>
      </c>
      <c r="F15" s="70" t="str">
        <f>IF('1.1 The situation'!$C99&lt;&gt;"",'1.1 The situation'!$C99,"")</f>
        <v/>
      </c>
      <c r="L15" s="70" t="str">
        <f t="shared" ca="1" si="1"/>
        <v/>
      </c>
      <c r="M15" s="70" t="str">
        <f t="shared" ca="1" si="2"/>
        <v/>
      </c>
      <c r="P15" s="70" t="str">
        <f>IF('1.1 The situation'!$B24&lt;&gt;"",'1.1 The situation'!$B24,"")</f>
        <v/>
      </c>
      <c r="S15" s="70" t="str">
        <f>IF(STATFOR_Data!$A13="-","Local forecast",IF(STATFOR_Data!$A13="","","STATFOR Base forecast "&amp;RIGHT(STATFOR_Data!$A13,3)&amp;" 2021 (Flight Plan 2017-19, Actual Route 2020-2024)"))</f>
        <v/>
      </c>
      <c r="V15" s="70" t="str">
        <f>IF(STATFOR_Data!$B13="-","Local forecast",IF(STATFOR_Data!$B13="","","STATFOR Base forecast "&amp;RIGHT(STATFOR_Data!$B13,3)&amp;" 2021"))</f>
        <v/>
      </c>
    </row>
    <row r="16" spans="1:23">
      <c r="B16" s="369" t="str">
        <f t="shared" ca="1" si="0"/>
        <v/>
      </c>
      <c r="C16" s="70" t="str">
        <f ca="1">$B16&amp;IF($B16="","","-")&amp;IF(ROWS($B$5:C16)&lt;=Nb_Airports_80000,INDEX(OFFSET('1.4 List of airports'!$C$8,,,Nb_Airports_80000),ROWS($B$5:C16)),INDIRECT("'1.4 List of airports'!c"&amp;32+ROWS($B$5:C16)-Nb_Airports_80000))</f>
        <v/>
      </c>
      <c r="D16">
        <f ca="1">IF(ROWS($B$5:B16)&lt;=Nb_Airports_80000,INDEX(OFFSET('1.4 List of airports'!$B$8,,,Nb_Airports_80000),ROWS($B$5:B16)),INDIRECT("'1.4 List of airports'!B"&amp;32+ROWS($B$5:B16)-Nb_Airports_80000))</f>
        <v>0</v>
      </c>
    </row>
    <row r="17" spans="2:4">
      <c r="B17" s="369" t="str">
        <f t="shared" ca="1" si="0"/>
        <v/>
      </c>
      <c r="C17" s="70" t="str">
        <f ca="1">$B17&amp;IF($B17="","","-")&amp;IF(ROWS($B$5:C17)&lt;=Nb_Airports_80000,INDEX(OFFSET('1.4 List of airports'!$C$8,,,Nb_Airports_80000),ROWS($B$5:C17)),INDIRECT("'1.4 List of airports'!c"&amp;32+ROWS($B$5:C17)-Nb_Airports_80000))</f>
        <v/>
      </c>
      <c r="D17">
        <f ca="1">IF(ROWS($B$5:B17)&lt;=Nb_Airports_80000,INDEX(OFFSET('1.4 List of airports'!$B$8,,,Nb_Airports_80000),ROWS($B$5:B17)),INDIRECT("'1.4 List of airports'!B"&amp;32+ROWS($B$5:B17)-Nb_Airports_80000))</f>
        <v>0</v>
      </c>
    </row>
    <row r="18" spans="2:4">
      <c r="B18" s="369" t="str">
        <f t="shared" ca="1" si="0"/>
        <v/>
      </c>
      <c r="C18" s="70" t="str">
        <f ca="1">$B18&amp;IF($B18="","","-")&amp;IF(ROWS($B$5:C18)&lt;=Nb_Airports_80000,INDEX(OFFSET('1.4 List of airports'!$C$8,,,Nb_Airports_80000),ROWS($B$5:C18)),INDIRECT("'1.4 List of airports'!c"&amp;32+ROWS($B$5:C18)-Nb_Airports_80000))</f>
        <v/>
      </c>
      <c r="D18">
        <f ca="1">IF(ROWS($B$5:B18)&lt;=Nb_Airports_80000,INDEX(OFFSET('1.4 List of airports'!$B$8,,,Nb_Airports_80000),ROWS($B$5:B18)),INDIRECT("'1.4 List of airports'!B"&amp;32+ROWS($B$5:B18)-Nb_Airports_80000))</f>
        <v>0</v>
      </c>
    </row>
    <row r="19" spans="2:4">
      <c r="B19" s="369" t="str">
        <f t="shared" ca="1" si="0"/>
        <v/>
      </c>
      <c r="C19" s="70" t="str">
        <f ca="1">$B19&amp;IF($B19="","","-")&amp;IF(ROWS($B$5:C19)&lt;=Nb_Airports_80000,INDEX(OFFSET('1.4 List of airports'!$C$8,,,Nb_Airports_80000),ROWS($B$5:C19)),INDIRECT("'1.4 List of airports'!c"&amp;32+ROWS($B$5:C19)-Nb_Airports_80000))</f>
        <v/>
      </c>
      <c r="D19">
        <f ca="1">IF(ROWS($B$5:B19)&lt;=Nb_Airports_80000,INDEX(OFFSET('1.4 List of airports'!$B$8,,,Nb_Airports_80000),ROWS($B$5:B19)),INDIRECT("'1.4 List of airports'!B"&amp;32+ROWS($B$5:B19)-Nb_Airports_80000))</f>
        <v>0</v>
      </c>
    </row>
    <row r="20" spans="2:4">
      <c r="B20" s="369" t="str">
        <f t="shared" ca="1" si="0"/>
        <v/>
      </c>
      <c r="C20" s="70" t="str">
        <f ca="1">$B20&amp;IF($B20="","","-")&amp;IF(ROWS($B$5:C20)&lt;=Nb_Airports_80000,INDEX(OFFSET('1.4 List of airports'!$C$8,,,Nb_Airports_80000),ROWS($B$5:C20)),INDIRECT("'1.4 List of airports'!c"&amp;32+ROWS($B$5:C20)-Nb_Airports_80000))</f>
        <v/>
      </c>
      <c r="D20">
        <f ca="1">IF(ROWS($B$5:B20)&lt;=Nb_Airports_80000,INDEX(OFFSET('1.4 List of airports'!$B$8,,,Nb_Airports_80000),ROWS($B$5:B20)),INDIRECT("'1.4 List of airports'!B"&amp;32+ROWS($B$5:B20)-Nb_Airports_80000))</f>
        <v>0</v>
      </c>
    </row>
    <row r="21" spans="2:4">
      <c r="B21" s="369" t="str">
        <f t="shared" ca="1" si="0"/>
        <v/>
      </c>
      <c r="C21" s="70" t="str">
        <f ca="1">$B21&amp;IF($B21="","","-")&amp;IF(ROWS($B$5:C21)&lt;=Nb_Airports_80000,INDEX(OFFSET('1.4 List of airports'!$C$8,,,Nb_Airports_80000),ROWS($B$5:C21)),INDIRECT("'1.4 List of airports'!c"&amp;32+ROWS($B$5:C21)-Nb_Airports_80000))</f>
        <v/>
      </c>
      <c r="D21">
        <f ca="1">IF(ROWS($B$5:B21)&lt;=Nb_Airports_80000,INDEX(OFFSET('1.4 List of airports'!$B$8,,,Nb_Airports_80000),ROWS($B$5:B21)),INDIRECT("'1.4 List of airports'!B"&amp;32+ROWS($B$5:B21)-Nb_Airports_80000))</f>
        <v>0</v>
      </c>
    </row>
    <row r="22" spans="2:4">
      <c r="B22" s="369" t="str">
        <f t="shared" ca="1" si="0"/>
        <v/>
      </c>
      <c r="C22" s="70" t="str">
        <f ca="1">$B22&amp;IF($B22="","","-")&amp;IF(ROWS($B$5:C22)&lt;=Nb_Airports_80000,INDEX(OFFSET('1.4 List of airports'!$C$8,,,Nb_Airports_80000),ROWS($B$5:C22)),INDIRECT("'1.4 List of airports'!c"&amp;32+ROWS($B$5:C22)-Nb_Airports_80000))</f>
        <v/>
      </c>
      <c r="D22">
        <f ca="1">IF(ROWS($B$5:B22)&lt;=Nb_Airports_80000,INDEX(OFFSET('1.4 List of airports'!$B$8,,,Nb_Airports_80000),ROWS($B$5:B22)),INDIRECT("'1.4 List of airports'!B"&amp;32+ROWS($B$5:B22)-Nb_Airports_80000))</f>
        <v>0</v>
      </c>
    </row>
    <row r="23" spans="2:4">
      <c r="B23" s="369" t="str">
        <f t="shared" ca="1" si="0"/>
        <v/>
      </c>
      <c r="C23" s="70" t="str">
        <f ca="1">$B23&amp;IF($B23="","","-")&amp;IF(ROWS($B$5:C23)&lt;=Nb_Airports_80000,INDEX(OFFSET('1.4 List of airports'!$C$8,,,Nb_Airports_80000),ROWS($B$5:C23)),INDIRECT("'1.4 List of airports'!c"&amp;32+ROWS($B$5:C23)-Nb_Airports_80000))</f>
        <v/>
      </c>
      <c r="D23">
        <f ca="1">IF(ROWS($B$5:B23)&lt;=Nb_Airports_80000,INDEX(OFFSET('1.4 List of airports'!$B$8,,,Nb_Airports_80000),ROWS($B$5:B23)),INDIRECT("'1.4 List of airports'!B"&amp;32+ROWS($B$5:B23)-Nb_Airports_80000))</f>
        <v>0</v>
      </c>
    </row>
    <row r="24" spans="2:4">
      <c r="B24" s="369" t="str">
        <f t="shared" ca="1" si="0"/>
        <v/>
      </c>
      <c r="C24" s="70" t="str">
        <f ca="1">$B24&amp;IF($B24="","","-")&amp;IF(ROWS($B$5:C24)&lt;=Nb_Airports_80000,INDEX(OFFSET('1.4 List of airports'!$C$8,,,Nb_Airports_80000),ROWS($B$5:C24)),INDIRECT("'1.4 List of airports'!c"&amp;32+ROWS($B$5:C24)-Nb_Airports_80000))</f>
        <v/>
      </c>
      <c r="D24">
        <f ca="1">IF(ROWS($B$5:B24)&lt;=Nb_Airports_80000,INDEX(OFFSET('1.4 List of airports'!$B$8,,,Nb_Airports_80000),ROWS($B$5:B24)),INDIRECT("'1.4 List of airports'!B"&amp;32+ROWS($B$5:B24)-Nb_Airports_80000))</f>
        <v>0</v>
      </c>
    </row>
    <row r="25" spans="2:4">
      <c r="B25" s="369" t="str">
        <f t="shared" ca="1" si="0"/>
        <v/>
      </c>
      <c r="C25" s="70" t="str">
        <f ca="1">$B25&amp;IF($B25="","","-")&amp;IF(ROWS($B$5:C25)&lt;=Nb_Airports_80000,INDEX(OFFSET('1.4 List of airports'!$C$8,,,Nb_Airports_80000),ROWS($B$5:C25)),INDIRECT("'1.4 List of airports'!c"&amp;32+ROWS($B$5:C25)-Nb_Airports_80000))</f>
        <v/>
      </c>
      <c r="D25">
        <f ca="1">IF(ROWS($B$5:B25)&lt;=Nb_Airports_80000,INDEX(OFFSET('1.4 List of airports'!$B$8,,,Nb_Airports_80000),ROWS($B$5:B25)),INDIRECT("'1.4 List of airports'!B"&amp;32+ROWS($B$5:B25)-Nb_Airports_80000))</f>
        <v>0</v>
      </c>
    </row>
    <row r="26" spans="2:4">
      <c r="B26" s="369" t="str">
        <f t="shared" ca="1" si="0"/>
        <v/>
      </c>
      <c r="C26" s="70" t="str">
        <f ca="1">$B26&amp;IF($B26="","","-")&amp;IF(ROWS($B$5:C26)&lt;=Nb_Airports_80000,INDEX(OFFSET('1.4 List of airports'!$C$8,,,Nb_Airports_80000),ROWS($B$5:C26)),INDIRECT("'1.4 List of airports'!c"&amp;32+ROWS($B$5:C26)-Nb_Airports_80000))</f>
        <v/>
      </c>
      <c r="D26">
        <f ca="1">IF(ROWS($B$5:B26)&lt;=Nb_Airports_80000,INDEX(OFFSET('1.4 List of airports'!$B$8,,,Nb_Airports_80000),ROWS($B$5:B26)),INDIRECT("'1.4 List of airports'!B"&amp;32+ROWS($B$5:B26)-Nb_Airports_80000))</f>
        <v>0</v>
      </c>
    </row>
    <row r="27" spans="2:4">
      <c r="B27" s="369" t="str">
        <f t="shared" ca="1" si="0"/>
        <v/>
      </c>
      <c r="C27" s="70" t="str">
        <f ca="1">$B27&amp;IF($B27="","","-")&amp;IF(ROWS($B$5:C27)&lt;=Nb_Airports_80000,INDEX(OFFSET('1.4 List of airports'!$C$8,,,Nb_Airports_80000),ROWS($B$5:C27)),INDIRECT("'1.4 List of airports'!c"&amp;32+ROWS($B$5:C27)-Nb_Airports_80000))</f>
        <v/>
      </c>
      <c r="D27">
        <f ca="1">IF(ROWS($B$5:B27)&lt;=Nb_Airports_80000,INDEX(OFFSET('1.4 List of airports'!$B$8,,,Nb_Airports_80000),ROWS($B$5:B27)),INDIRECT("'1.4 List of airports'!B"&amp;32+ROWS($B$5:B27)-Nb_Airports_80000))</f>
        <v>0</v>
      </c>
    </row>
    <row r="28" spans="2:4">
      <c r="B28" s="369" t="str">
        <f t="shared" ca="1" si="0"/>
        <v/>
      </c>
      <c r="C28" s="70" t="str">
        <f ca="1">$B28&amp;IF($B28="","","-")&amp;IF(ROWS($B$5:C28)&lt;=Nb_Airports_80000,INDEX(OFFSET('1.4 List of airports'!$C$8,,,Nb_Airports_80000),ROWS($B$5:C28)),INDIRECT("'1.4 List of airports'!c"&amp;32+ROWS($B$5:C28)-Nb_Airports_80000))</f>
        <v/>
      </c>
      <c r="D28">
        <f ca="1">IF(ROWS($B$5:B28)&lt;=Nb_Airports_80000,INDEX(OFFSET('1.4 List of airports'!$B$8,,,Nb_Airports_80000),ROWS($B$5:B28)),INDIRECT("'1.4 List of airports'!B"&amp;32+ROWS($B$5:B28)-Nb_Airports_80000))</f>
        <v>0</v>
      </c>
    </row>
    <row r="29" spans="2:4">
      <c r="B29" s="369" t="str">
        <f t="shared" ca="1" si="0"/>
        <v/>
      </c>
      <c r="C29" s="70" t="str">
        <f ca="1">$B29&amp;IF($B29="","","-")&amp;IF(ROWS($B$5:C29)&lt;=Nb_Airports_80000,INDEX(OFFSET('1.4 List of airports'!$C$8,,,Nb_Airports_80000),ROWS($B$5:C29)),INDIRECT("'1.4 List of airports'!c"&amp;32+ROWS($B$5:C29)-Nb_Airports_80000))</f>
        <v/>
      </c>
      <c r="D29">
        <f ca="1">IF(ROWS($B$5:B29)&lt;=Nb_Airports_80000,INDEX(OFFSET('1.4 List of airports'!$B$8,,,Nb_Airports_80000),ROWS($B$5:B29)),INDIRECT("'1.4 List of airports'!B"&amp;32+ROWS($B$5:B29)-Nb_Airports_80000))</f>
        <v>0</v>
      </c>
    </row>
    <row r="30" spans="2:4">
      <c r="B30" s="369" t="str">
        <f t="shared" ca="1" si="0"/>
        <v/>
      </c>
      <c r="C30" s="70" t="str">
        <f ca="1">$B30&amp;IF($B30="","","-")&amp;IF(ROWS($B$5:C30)&lt;=Nb_Airports_80000,INDEX(OFFSET('1.4 List of airports'!$C$8,,,Nb_Airports_80000),ROWS($B$5:C30)),INDIRECT("'1.4 List of airports'!c"&amp;32+ROWS($B$5:C30)-Nb_Airports_80000))</f>
        <v/>
      </c>
      <c r="D30">
        <f ca="1">IF(ROWS($B$5:B30)&lt;=Nb_Airports_80000,INDEX(OFFSET('1.4 List of airports'!$B$8,,,Nb_Airports_80000),ROWS($B$5:B30)),INDIRECT("'1.4 List of airports'!B"&amp;32+ROWS($B$5:B30)-Nb_Airports_80000))</f>
        <v>0</v>
      </c>
    </row>
    <row r="31" spans="2:4">
      <c r="B31" s="369" t="str">
        <f t="shared" ca="1" si="0"/>
        <v/>
      </c>
      <c r="C31" s="70" t="str">
        <f ca="1">$B31&amp;IF($B31="","","-")&amp;IF(ROWS($B$5:C31)&lt;=Nb_Airports_80000,INDEX(OFFSET('1.4 List of airports'!$C$8,,,Nb_Airports_80000),ROWS($B$5:C31)),INDIRECT("'1.4 List of airports'!c"&amp;32+ROWS($B$5:C31)-Nb_Airports_80000))</f>
        <v/>
      </c>
      <c r="D31">
        <f ca="1">IF(ROWS($B$5:B31)&lt;=Nb_Airports_80000,INDEX(OFFSET('1.4 List of airports'!$B$8,,,Nb_Airports_80000),ROWS($B$5:B31)),INDIRECT("'1.4 List of airports'!B"&amp;32+ROWS($B$5:B31)-Nb_Airports_80000))</f>
        <v>0</v>
      </c>
    </row>
    <row r="32" spans="2:4">
      <c r="B32" s="369" t="str">
        <f t="shared" ca="1" si="0"/>
        <v/>
      </c>
      <c r="C32" s="70" t="str">
        <f ca="1">$B32&amp;IF($B32="","","-")&amp;IF(ROWS($B$5:C32)&lt;=Nb_Airports_80000,INDEX(OFFSET('1.4 List of airports'!$C$8,,,Nb_Airports_80000),ROWS($B$5:C32)),INDIRECT("'1.4 List of airports'!c"&amp;32+ROWS($B$5:C32)-Nb_Airports_80000))</f>
        <v/>
      </c>
      <c r="D32">
        <f ca="1">IF(ROWS($B$5:B32)&lt;=Nb_Airports_80000,INDEX(OFFSET('1.4 List of airports'!$B$8,,,Nb_Airports_80000),ROWS($B$5:B32)),INDIRECT("'1.4 List of airports'!B"&amp;32+ROWS($B$5:B32)-Nb_Airports_80000))</f>
        <v>0</v>
      </c>
    </row>
    <row r="33" spans="2:6">
      <c r="B33" s="369" t="str">
        <f t="shared" ca="1" si="0"/>
        <v/>
      </c>
      <c r="C33" s="70" t="str">
        <f ca="1">$B33&amp;IF($B33="","","-")&amp;IF(ROWS($B$5:C33)&lt;=Nb_Airports_80000,INDEX(OFFSET('1.4 List of airports'!$C$8,,,Nb_Airports_80000),ROWS($B$5:C33)),INDIRECT("'1.4 List of airports'!c"&amp;32+ROWS($B$5:C33)-Nb_Airports_80000))</f>
        <v/>
      </c>
      <c r="D33">
        <f ca="1">IF(ROWS($B$5:B33)&lt;=Nb_Airports_80000,INDEX(OFFSET('1.4 List of airports'!$B$8,,,Nb_Airports_80000),ROWS($B$5:B33)),INDIRECT("'1.4 List of airports'!B"&amp;32+ROWS($B$5:B33)-Nb_Airports_80000))</f>
        <v>0</v>
      </c>
    </row>
    <row r="34" spans="2:6">
      <c r="B34" s="369" t="str">
        <f t="shared" ca="1" si="0"/>
        <v/>
      </c>
      <c r="C34" s="70" t="str">
        <f ca="1">$B34&amp;IF($B34="","","-")&amp;IF(ROWS($B$5:C34)&lt;=Nb_Airports_80000,INDEX(OFFSET('1.4 List of airports'!$C$8,,,Nb_Airports_80000),ROWS($B$5:C34)),INDIRECT("'1.4 List of airports'!c"&amp;32+ROWS($B$5:C34)-Nb_Airports_80000))</f>
        <v/>
      </c>
      <c r="D34">
        <f ca="1">IF(ROWS($B$5:B34)&lt;=Nb_Airports_80000,INDEX(OFFSET('1.4 List of airports'!$B$8,,,Nb_Airports_80000),ROWS($B$5:B34)),INDIRECT("'1.4 List of airports'!B"&amp;32+ROWS($B$5:B34)-Nb_Airports_80000))</f>
        <v>0</v>
      </c>
    </row>
    <row r="35" spans="2:6">
      <c r="B35" s="369" t="str">
        <f t="shared" ca="1" si="0"/>
        <v/>
      </c>
      <c r="C35" s="70" t="str">
        <f ca="1">$B35&amp;IF($B35="","","-")&amp;IF(ROWS($B$5:C35)&lt;=Nb_Airports_80000,INDEX(OFFSET('1.4 List of airports'!$C$8,,,Nb_Airports_80000),ROWS($B$5:C35)),INDIRECT("'1.4 List of airports'!c"&amp;32+ROWS($B$5:C35)-Nb_Airports_80000))</f>
        <v/>
      </c>
      <c r="D35">
        <f ca="1">IF(ROWS($B$5:B35)&lt;=Nb_Airports_80000,INDEX(OFFSET('1.4 List of airports'!$B$8,,,Nb_Airports_80000),ROWS($B$5:B35)),INDIRECT("'1.4 List of airports'!B"&amp;32+ROWS($B$5:B35)-Nb_Airports_80000))</f>
        <v>0</v>
      </c>
    </row>
    <row r="36" spans="2:6">
      <c r="B36" s="369" t="str">
        <f t="shared" ca="1" si="0"/>
        <v/>
      </c>
      <c r="C36" s="70" t="str">
        <f ca="1">$B36&amp;IF($B36="","","-")&amp;IF(ROWS($B$5:C36)&lt;=Nb_Airports_80000,INDEX(OFFSET('1.4 List of airports'!$C$8,,,Nb_Airports_80000),ROWS($B$5:C36)),INDIRECT("'1.4 List of airports'!c"&amp;32+ROWS($B$5:C36)-Nb_Airports_80000))</f>
        <v/>
      </c>
      <c r="D36">
        <f ca="1">IF(ROWS($B$5:B36)&lt;=Nb_Airports_80000,INDEX(OFFSET('1.4 List of airports'!$B$8,,,Nb_Airports_80000),ROWS($B$5:B36)),INDIRECT("'1.4 List of airports'!B"&amp;32+ROWS($B$5:B36)-Nb_Airports_80000))</f>
        <v>0</v>
      </c>
    </row>
    <row r="37" spans="2:6">
      <c r="B37" s="369" t="str">
        <f t="shared" ca="1" si="0"/>
        <v/>
      </c>
      <c r="C37" s="70" t="str">
        <f ca="1">$B37&amp;IF($B37="","","-")&amp;IF(ROWS($B$5:C37)&lt;=Nb_Airports_80000,INDEX(OFFSET('1.4 List of airports'!$C$8,,,Nb_Airports_80000),ROWS($B$5:C37)),INDIRECT("'1.4 List of airports'!c"&amp;32+ROWS($B$5:C37)-Nb_Airports_80000))</f>
        <v/>
      </c>
      <c r="D37">
        <f ca="1">IF(ROWS($B$5:B37)&lt;=Nb_Airports_80000,INDEX(OFFSET('1.4 List of airports'!$B$8,,,Nb_Airports_80000),ROWS($B$5:B37)),INDIRECT("'1.4 List of airports'!B"&amp;32+ROWS($B$5:B37)-Nb_Airports_80000))</f>
        <v>0</v>
      </c>
    </row>
    <row r="38" spans="2:6">
      <c r="B38" s="369" t="str">
        <f t="shared" ca="1" si="0"/>
        <v/>
      </c>
      <c r="C38" s="70" t="str">
        <f ca="1">$B38&amp;IF($B38="","","-")&amp;IF(ROWS($B$5:C38)&lt;=Nb_Airports_80000,INDEX(OFFSET('1.4 List of airports'!$C$8,,,Nb_Airports_80000),ROWS($B$5:C38)),INDIRECT("'1.4 List of airports'!c"&amp;32+ROWS($B$5:C38)-Nb_Airports_80000))</f>
        <v/>
      </c>
      <c r="D38">
        <f ca="1">IF(ROWS($B$5:B38)&lt;=Nb_Airports_80000,INDEX(OFFSET('1.4 List of airports'!$B$8,,,Nb_Airports_80000),ROWS($B$5:B38)),INDIRECT("'1.4 List of airports'!B"&amp;32+ROWS($B$5:B38)-Nb_Airports_80000))</f>
        <v>0</v>
      </c>
    </row>
    <row r="39" spans="2:6">
      <c r="B39" s="369" t="str">
        <f t="shared" ca="1" si="0"/>
        <v/>
      </c>
      <c r="C39" s="70" t="str">
        <f ca="1">$B39&amp;IF($B39="","","-")&amp;IF(ROWS($B$5:C39)&lt;=Nb_Airports_80000,INDEX(OFFSET('1.4 List of airports'!$C$8,,,Nb_Airports_80000),ROWS($B$5:C39)),INDIRECT("'1.4 List of airports'!c"&amp;32+ROWS($B$5:C39)-Nb_Airports_80000))</f>
        <v/>
      </c>
      <c r="D39">
        <f ca="1">IF(ROWS($B$5:B39)&lt;=Nb_Airports_80000,INDEX(OFFSET('1.4 List of airports'!$B$8,,,Nb_Airports_80000),ROWS($B$5:B39)),INDIRECT("'1.4 List of airports'!B"&amp;32+ROWS($B$5:B39)-Nb_Airports_80000))</f>
        <v>0</v>
      </c>
    </row>
    <row r="40" spans="2:6">
      <c r="B40" s="369" t="str">
        <f t="shared" ca="1" si="0"/>
        <v/>
      </c>
      <c r="C40" s="70" t="str">
        <f ca="1">$B40&amp;IF($B40="","","-")&amp;IF(ROWS($B$5:C40)&lt;=Nb_Airports_80000,INDEX(OFFSET('1.4 List of airports'!$C$8,,,Nb_Airports_80000),ROWS($B$5:C40)),INDIRECT("'1.4 List of airports'!c"&amp;32+ROWS($B$5:C40)-Nb_Airports_80000))</f>
        <v/>
      </c>
      <c r="D40">
        <f ca="1">IF(ROWS($B$5:B40)&lt;=Nb_Airports_80000,INDEX(OFFSET('1.4 List of airports'!$B$8,,,Nb_Airports_80000),ROWS($B$5:B40)),INDIRECT("'1.4 List of airports'!B"&amp;32+ROWS($B$5:B40)-Nb_Airports_80000))</f>
        <v>0</v>
      </c>
    </row>
    <row r="41" spans="2:6">
      <c r="B41" s="369" t="str">
        <f t="shared" ca="1" si="0"/>
        <v/>
      </c>
      <c r="C41" s="70" t="str">
        <f ca="1">$B41&amp;IF($B41="","","-")&amp;IF(ROWS($B$5:C41)&lt;=Nb_Airports_80000,INDEX(OFFSET('1.4 List of airports'!$C$8,,,Nb_Airports_80000),ROWS($B$5:C41)),INDIRECT("'1.4 List of airports'!c"&amp;32+ROWS($B$5:C41)-Nb_Airports_80000))</f>
        <v/>
      </c>
      <c r="D41">
        <f ca="1">IF(ROWS($B$5:B41)&lt;=Nb_Airports_80000,INDEX(OFFSET('1.4 List of airports'!$B$8,,,Nb_Airports_80000),ROWS($B$5:B41)),INDIRECT("'1.4 List of airports'!B"&amp;32+ROWS($B$5:B41)-Nb_Airports_80000))</f>
        <v>0</v>
      </c>
    </row>
    <row r="42" spans="2:6">
      <c r="B42" s="369" t="str">
        <f t="shared" ca="1" si="0"/>
        <v/>
      </c>
      <c r="C42" s="70" t="str">
        <f ca="1">$B42&amp;IF($B42="","","-")&amp;IF(ROWS($B$5:C42)&lt;=Nb_Airports_80000,INDEX(OFFSET('1.4 List of airports'!$C$8,,,Nb_Airports_80000),ROWS($B$5:C42)),INDIRECT("'1.4 List of airports'!c"&amp;32+ROWS($B$5:C42)-Nb_Airports_80000))</f>
        <v/>
      </c>
      <c r="D42">
        <f ca="1">IF(ROWS($B$5:B42)&lt;=Nb_Airports_80000,INDEX(OFFSET('1.4 List of airports'!$B$8,,,Nb_Airports_80000),ROWS($B$5:B42)),INDIRECT("'1.4 List of airports'!B"&amp;32+ROWS($B$5:B42)-Nb_Airports_80000))</f>
        <v>0</v>
      </c>
    </row>
    <row r="43" spans="2:6">
      <c r="B43" s="369" t="str">
        <f t="shared" ca="1" si="0"/>
        <v/>
      </c>
      <c r="C43" s="70" t="str">
        <f ca="1">$B43&amp;IF($B43="","","-")&amp;IF(ROWS($B$5:C43)&lt;=Nb_Airports_80000,INDEX(OFFSET('1.4 List of airports'!$C$8,,,Nb_Airports_80000),ROWS($B$5:C43)),INDIRECT("'1.4 List of airports'!c"&amp;32+ROWS($B$5:C43)-Nb_Airports_80000))</f>
        <v/>
      </c>
      <c r="D43">
        <f ca="1">IF(ROWS($B$5:B43)&lt;=Nb_Airports_80000,INDEX(OFFSET('1.4 List of airports'!$B$8,,,Nb_Airports_80000),ROWS($B$5:B43)),INDIRECT("'1.4 List of airports'!B"&amp;32+ROWS($B$5:B43)-Nb_Airports_80000))</f>
        <v>0</v>
      </c>
      <c r="F43" s="90"/>
    </row>
    <row r="44" spans="2:6">
      <c r="B44" s="369" t="str">
        <f t="shared" ca="1" si="0"/>
        <v/>
      </c>
      <c r="C44" s="70" t="str">
        <f ca="1">$B44&amp;IF($B44="","","-")&amp;IF(ROWS($B$5:C44)&lt;=Nb_Airports_80000,INDEX(OFFSET('1.4 List of airports'!$C$8,,,Nb_Airports_80000),ROWS($B$5:C44)),INDIRECT("'1.4 List of airports'!c"&amp;32+ROWS($B$5:C44)-Nb_Airports_80000))</f>
        <v/>
      </c>
      <c r="D44">
        <f ca="1">IF(ROWS($B$5:B44)&lt;=Nb_Airports_80000,INDEX(OFFSET('1.4 List of airports'!$B$8,,,Nb_Airports_80000),ROWS($B$5:B44)),INDIRECT("'1.4 List of airports'!B"&amp;32+ROWS($B$5:B44)-Nb_Airports_80000))</f>
        <v>0</v>
      </c>
      <c r="F44" s="90"/>
    </row>
    <row r="45" spans="2:6">
      <c r="B45" s="369" t="str">
        <f t="shared" ca="1" si="0"/>
        <v/>
      </c>
      <c r="C45" s="70" t="str">
        <f ca="1">$B45&amp;IF($B45="","","-")&amp;IF(ROWS($B$5:C45)&lt;=Nb_Airports_80000,INDEX(OFFSET('1.4 List of airports'!$C$8,,,Nb_Airports_80000),ROWS($B$5:C45)),INDIRECT("'1.4 List of airports'!c"&amp;32+ROWS($B$5:C45)-Nb_Airports_80000))</f>
        <v/>
      </c>
      <c r="D45">
        <f ca="1">IF(ROWS($B$5:B45)&lt;=Nb_Airports_80000,INDEX(OFFSET('1.4 List of airports'!$B$8,,,Nb_Airports_80000),ROWS($B$5:B45)),INDIRECT("'1.4 List of airports'!B"&amp;32+ROWS($B$5:B45)-Nb_Airports_80000))</f>
        <v>0</v>
      </c>
      <c r="F45" s="90"/>
    </row>
    <row r="46" spans="2:6">
      <c r="B46" s="369" t="str">
        <f t="shared" ca="1" si="0"/>
        <v/>
      </c>
      <c r="C46" s="70" t="str">
        <f ca="1">$B46&amp;IF($B46="","","-")&amp;IF(ROWS($B$5:C46)&lt;=Nb_Airports_80000,INDEX(OFFSET('1.4 List of airports'!$C$8,,,Nb_Airports_80000),ROWS($B$5:C46)),INDIRECT("'1.4 List of airports'!c"&amp;32+ROWS($B$5:C46)-Nb_Airports_80000))</f>
        <v/>
      </c>
      <c r="D46">
        <f ca="1">IF(ROWS($B$5:B46)&lt;=Nb_Airports_80000,INDEX(OFFSET('1.4 List of airports'!$B$8,,,Nb_Airports_80000),ROWS($B$5:B46)),INDIRECT("'1.4 List of airports'!B"&amp;32+ROWS($B$5:B46)-Nb_Airports_80000))</f>
        <v>0</v>
      </c>
      <c r="F46" s="90"/>
    </row>
    <row r="47" spans="2:6">
      <c r="B47" s="369" t="str">
        <f t="shared" ca="1" si="0"/>
        <v/>
      </c>
      <c r="C47" s="70" t="str">
        <f ca="1">$B47&amp;IF($B47="","","-")&amp;IF(ROWS($B$5:C47)&lt;=Nb_Airports_80000,INDEX(OFFSET('1.4 List of airports'!$C$8,,,Nb_Airports_80000),ROWS($B$5:C47)),INDIRECT("'1.4 List of airports'!c"&amp;32+ROWS($B$5:C47)-Nb_Airports_80000))</f>
        <v/>
      </c>
      <c r="D47">
        <f ca="1">IF(ROWS($B$5:B47)&lt;=Nb_Airports_80000,INDEX(OFFSET('1.4 List of airports'!$B$8,,,Nb_Airports_80000),ROWS($B$5:B47)),INDIRECT("'1.4 List of airports'!B"&amp;32+ROWS($B$5:B47)-Nb_Airports_80000))</f>
        <v>0</v>
      </c>
      <c r="F47" s="90"/>
    </row>
    <row r="48" spans="2:6">
      <c r="B48" s="369" t="str">
        <f t="shared" ca="1" si="0"/>
        <v/>
      </c>
      <c r="C48" s="70" t="str">
        <f ca="1">$B48&amp;IF($B48="","","-")&amp;IF(ROWS($B$5:C48)&lt;=Nb_Airports_80000,INDEX(OFFSET('1.4 List of airports'!$C$8,,,Nb_Airports_80000),ROWS($B$5:C48)),INDIRECT("'1.4 List of airports'!c"&amp;32+ROWS($B$5:C48)-Nb_Airports_80000))</f>
        <v/>
      </c>
      <c r="D48">
        <f ca="1">IF(ROWS($B$5:B48)&lt;=Nb_Airports_80000,INDEX(OFFSET('1.4 List of airports'!$B$8,,,Nb_Airports_80000),ROWS($B$5:B48)),INDIRECT("'1.4 List of airports'!B"&amp;32+ROWS($B$5:B48)-Nb_Airports_80000))</f>
        <v>0</v>
      </c>
      <c r="F48" s="90"/>
    </row>
    <row r="49" spans="2:4">
      <c r="B49" s="369" t="str">
        <f t="shared" ca="1" si="0"/>
        <v/>
      </c>
      <c r="C49" s="70" t="str">
        <f ca="1">$B49&amp;IF($B49="","","-")&amp;IF(ROWS($B$5:C49)&lt;=Nb_Airports_80000,INDEX(OFFSET('1.4 List of airports'!$C$8,,,Nb_Airports_80000),ROWS($B$5:C49)),INDIRECT("'1.4 List of airports'!c"&amp;32+ROWS($B$5:C49)-Nb_Airports_80000))</f>
        <v/>
      </c>
      <c r="D49">
        <f ca="1">IF(ROWS($B$5:B49)&lt;=Nb_Airports_80000,INDEX(OFFSET('1.4 List of airports'!$B$8,,,Nb_Airports_80000),ROWS($B$5:B49)),INDIRECT("'1.4 List of airports'!B"&amp;32+ROWS($B$5:B49)-Nb_Airports_80000))</f>
        <v>0</v>
      </c>
    </row>
    <row r="50" spans="2:4">
      <c r="B50" s="369" t="str">
        <f t="shared" ca="1" si="0"/>
        <v/>
      </c>
      <c r="C50" s="70" t="str">
        <f ca="1">$B50&amp;IF($B50="","","-")&amp;IF(ROWS($B$5:C50)&lt;=Nb_Airports_80000,INDEX(OFFSET('1.4 List of airports'!$C$8,,,Nb_Airports_80000),ROWS($B$5:C50)),INDIRECT("'1.4 List of airports'!c"&amp;32+ROWS($B$5:C50)-Nb_Airports_80000))</f>
        <v/>
      </c>
      <c r="D50">
        <f ca="1">IF(ROWS($B$5:B50)&lt;=Nb_Airports_80000,INDEX(OFFSET('1.4 List of airports'!$B$8,,,Nb_Airports_80000),ROWS($B$5:B50)),INDIRECT("'1.4 List of airports'!B"&amp;32+ROWS($B$5:B50)-Nb_Airports_80000))</f>
        <v>0</v>
      </c>
    </row>
    <row r="51" spans="2:4">
      <c r="B51" s="369" t="str">
        <f t="shared" ca="1" si="0"/>
        <v/>
      </c>
      <c r="C51" s="70" t="str">
        <f ca="1">$B51&amp;IF($B51="","","-")&amp;IF(ROWS($B$5:C51)&lt;=Nb_Airports_80000,INDEX(OFFSET('1.4 List of airports'!$C$8,,,Nb_Airports_80000),ROWS($B$5:C51)),INDIRECT("'1.4 List of airports'!c"&amp;32+ROWS($B$5:C51)-Nb_Airports_80000))</f>
        <v/>
      </c>
      <c r="D51">
        <f ca="1">IF(ROWS($B$5:B51)&lt;=Nb_Airports_80000,INDEX(OFFSET('1.4 List of airports'!$B$8,,,Nb_Airports_80000),ROWS($B$5:B51)),INDIRECT("'1.4 List of airports'!B"&amp;32+ROWS($B$5:B51)-Nb_Airports_80000))</f>
        <v>0</v>
      </c>
    </row>
    <row r="52" spans="2:4">
      <c r="B52" s="369" t="str">
        <f t="shared" ca="1" si="0"/>
        <v/>
      </c>
      <c r="C52" s="70" t="str">
        <f ca="1">$B52&amp;IF($B52="","","-")&amp;IF(ROWS($B$5:C52)&lt;=Nb_Airports_80000,INDEX(OFFSET('1.4 List of airports'!$C$8,,,Nb_Airports_80000),ROWS($B$5:C52)),INDIRECT("'1.4 List of airports'!c"&amp;32+ROWS($B$5:C52)-Nb_Airports_80000))</f>
        <v/>
      </c>
      <c r="D52">
        <f ca="1">IF(ROWS($B$5:B52)&lt;=Nb_Airports_80000,INDEX(OFFSET('1.4 List of airports'!$B$8,,,Nb_Airports_80000),ROWS($B$5:B52)),INDIRECT("'1.4 List of airports'!B"&amp;32+ROWS($B$5:B52)-Nb_Airports_80000))</f>
        <v>0</v>
      </c>
    </row>
    <row r="53" spans="2:4">
      <c r="B53" s="369" t="str">
        <f t="shared" ca="1" si="0"/>
        <v/>
      </c>
      <c r="C53" s="70" t="str">
        <f ca="1">$B53&amp;IF($B53="","","-")&amp;IF(ROWS($B$5:C53)&lt;=Nb_Airports_80000,INDEX(OFFSET('1.4 List of airports'!$C$8,,,Nb_Airports_80000),ROWS($B$5:C53)),INDIRECT("'1.4 List of airports'!c"&amp;32+ROWS($B$5:C53)-Nb_Airports_80000))</f>
        <v/>
      </c>
      <c r="D53">
        <f ca="1">IF(ROWS($B$5:B53)&lt;=Nb_Airports_80000,INDEX(OFFSET('1.4 List of airports'!$B$8,,,Nb_Airports_80000),ROWS($B$5:B53)),INDIRECT("'1.4 List of airports'!B"&amp;32+ROWS($B$5:B53)-Nb_Airports_80000))</f>
        <v>0</v>
      </c>
    </row>
    <row r="54" spans="2:4">
      <c r="B54" s="369" t="str">
        <f t="shared" ca="1" si="0"/>
        <v/>
      </c>
      <c r="C54" s="70" t="str">
        <f ca="1">$B54&amp;IF($B54="","","-")&amp;IF(ROWS($B$5:C54)&lt;=Nb_Airports_80000,INDEX(OFFSET('1.4 List of airports'!$C$8,,,Nb_Airports_80000),ROWS($B$5:C54)),INDIRECT("'1.4 List of airports'!c"&amp;32+ROWS($B$5:C54)-Nb_Airports_80000))</f>
        <v/>
      </c>
      <c r="D54">
        <f ca="1">IF(ROWS($B$5:B54)&lt;=Nb_Airports_80000,INDEX(OFFSET('1.4 List of airports'!$B$8,,,Nb_Airports_80000),ROWS($B$5:B54)),INDIRECT("'1.4 List of airports'!B"&amp;32+ROWS($B$5:B54)-Nb_Airports_80000))</f>
        <v>0</v>
      </c>
    </row>
    <row r="55" spans="2:4">
      <c r="B55" s="369" t="str">
        <f t="shared" ca="1" si="0"/>
        <v/>
      </c>
      <c r="C55" s="70" t="str">
        <f ca="1">$B55&amp;IF($B55="","","-")&amp;IF(ROWS($B$5:C55)&lt;=Nb_Airports_80000,INDEX(OFFSET('1.4 List of airports'!$C$8,,,Nb_Airports_80000),ROWS($B$5:C55)),INDIRECT("'1.4 List of airports'!c"&amp;32+ROWS($B$5:C55)-Nb_Airports_80000))</f>
        <v/>
      </c>
      <c r="D55">
        <f ca="1">IF(ROWS($B$5:B55)&lt;=Nb_Airports_80000,INDEX(OFFSET('1.4 List of airports'!$B$8,,,Nb_Airports_80000),ROWS($B$5:B55)),INDIRECT("'1.4 List of airports'!B"&amp;32+ROWS($B$5:B55)-Nb_Airports_80000))</f>
        <v>0</v>
      </c>
    </row>
    <row r="56" spans="2:4">
      <c r="B56" s="369" t="str">
        <f t="shared" ca="1" si="0"/>
        <v/>
      </c>
      <c r="C56" s="70" t="str">
        <f ca="1">$B56&amp;IF($B56="","","-")&amp;IF(ROWS($B$5:C56)&lt;=Nb_Airports_80000,INDEX(OFFSET('1.4 List of airports'!$C$8,,,Nb_Airports_80000),ROWS($B$5:C56)),INDIRECT("'1.4 List of airports'!c"&amp;32+ROWS($B$5:C56)-Nb_Airports_80000))</f>
        <v/>
      </c>
      <c r="D56">
        <f ca="1">IF(ROWS($B$5:B56)&lt;=Nb_Airports_80000,INDEX(OFFSET('1.4 List of airports'!$B$8,,,Nb_Airports_80000),ROWS($B$5:B56)),INDIRECT("'1.4 List of airports'!B"&amp;32+ROWS($B$5:B56)-Nb_Airports_80000))</f>
        <v>0</v>
      </c>
    </row>
    <row r="57" spans="2:4">
      <c r="B57" s="369" t="str">
        <f t="shared" ca="1" si="0"/>
        <v/>
      </c>
      <c r="C57" s="70" t="str">
        <f ca="1">$B57&amp;IF($B57="","","-")&amp;IF(ROWS($B$5:C57)&lt;=Nb_Airports_80000,INDEX(OFFSET('1.4 List of airports'!$C$8,,,Nb_Airports_80000),ROWS($B$5:C57)),INDIRECT("'1.4 List of airports'!c"&amp;32+ROWS($B$5:C57)-Nb_Airports_80000))</f>
        <v/>
      </c>
      <c r="D57">
        <f ca="1">IF(ROWS($B$5:B57)&lt;=Nb_Airports_80000,INDEX(OFFSET('1.4 List of airports'!$B$8,,,Nb_Airports_80000),ROWS($B$5:B57)),INDIRECT("'1.4 List of airports'!B"&amp;32+ROWS($B$5:B57)-Nb_Airports_80000))</f>
        <v>0</v>
      </c>
    </row>
    <row r="58" spans="2:4">
      <c r="B58" s="369" t="str">
        <f t="shared" ca="1" si="0"/>
        <v/>
      </c>
      <c r="C58" s="70" t="str">
        <f ca="1">$B58&amp;IF($B58="","","-")&amp;IF(ROWS($B$5:C58)&lt;=Nb_Airports_80000,INDEX(OFFSET('1.4 List of airports'!$C$8,,,Nb_Airports_80000),ROWS($B$5:C58)),INDIRECT("'1.4 List of airports'!c"&amp;32+ROWS($B$5:C58)-Nb_Airports_80000))</f>
        <v/>
      </c>
      <c r="D58">
        <f ca="1">IF(ROWS($B$5:B58)&lt;=Nb_Airports_80000,INDEX(OFFSET('1.4 List of airports'!$B$8,,,Nb_Airports_80000),ROWS($B$5:B58)),INDIRECT("'1.4 List of airports'!B"&amp;32+ROWS($B$5:B58)-Nb_Airports_80000))</f>
        <v>0</v>
      </c>
    </row>
    <row r="59" spans="2:4">
      <c r="B59" s="369" t="str">
        <f t="shared" ca="1" si="0"/>
        <v/>
      </c>
      <c r="C59" s="70" t="str">
        <f ca="1">$B59&amp;IF($B59="","","-")&amp;IF(ROWS($B$5:C59)&lt;=Nb_Airports_80000,INDEX(OFFSET('1.4 List of airports'!$C$8,,,Nb_Airports_80000),ROWS($B$5:C59)),INDIRECT("'1.4 List of airports'!c"&amp;32+ROWS($B$5:C59)-Nb_Airports_80000))</f>
        <v/>
      </c>
      <c r="D59">
        <f ca="1">IF(ROWS($B$5:B59)&lt;=Nb_Airports_80000,INDEX(OFFSET('1.4 List of airports'!$B$8,,,Nb_Airports_80000),ROWS($B$5:B59)),INDIRECT("'1.4 List of airports'!B"&amp;32+ROWS($B$5:B59)-Nb_Airports_80000))</f>
        <v>0</v>
      </c>
    </row>
    <row r="60" spans="2:4">
      <c r="B60" s="369" t="str">
        <f t="shared" ca="1" si="0"/>
        <v/>
      </c>
      <c r="C60" s="70" t="str">
        <f ca="1">$B60&amp;IF($B60="","","-")&amp;IF(ROWS($B$5:C60)&lt;=Nb_Airports_80000,INDEX(OFFSET('1.4 List of airports'!$C$8,,,Nb_Airports_80000),ROWS($B$5:C60)),INDIRECT("'1.4 List of airports'!c"&amp;32+ROWS($B$5:C60)-Nb_Airports_80000))</f>
        <v/>
      </c>
      <c r="D60">
        <f ca="1">IF(ROWS($B$5:B60)&lt;=Nb_Airports_80000,INDEX(OFFSET('1.4 List of airports'!$B$8,,,Nb_Airports_80000),ROWS($B$5:B60)),INDIRECT("'1.4 List of airports'!B"&amp;32+ROWS($B$5:B60)-Nb_Airports_80000))</f>
        <v>0</v>
      </c>
    </row>
    <row r="61" spans="2:4">
      <c r="B61" s="369" t="str">
        <f t="shared" ca="1" si="0"/>
        <v/>
      </c>
      <c r="C61" s="70" t="str">
        <f ca="1">$B61&amp;IF($B61="","","-")&amp;IF(ROWS($B$5:C61)&lt;=Nb_Airports_80000,INDEX(OFFSET('1.4 List of airports'!$C$8,,,Nb_Airports_80000),ROWS($B$5:C61)),INDIRECT("'1.4 List of airports'!c"&amp;32+ROWS($B$5:C61)-Nb_Airports_80000))</f>
        <v/>
      </c>
      <c r="D61">
        <f ca="1">IF(ROWS($B$5:B61)&lt;=Nb_Airports_80000,INDEX(OFFSET('1.4 List of airports'!$B$8,,,Nb_Airports_80000),ROWS($B$5:B61)),INDIRECT("'1.4 List of airports'!B"&amp;32+ROWS($B$5:B61)-Nb_Airports_80000))</f>
        <v>0</v>
      </c>
    </row>
    <row r="62" spans="2:4">
      <c r="B62" s="369" t="str">
        <f t="shared" ca="1" si="0"/>
        <v/>
      </c>
      <c r="C62" s="70" t="str">
        <f ca="1">$B62&amp;IF($B62="","","-")&amp;IF(ROWS($B$5:C62)&lt;=Nb_Airports_80000,INDEX(OFFSET('1.4 List of airports'!$C$8,,,Nb_Airports_80000),ROWS($B$5:C62)),INDIRECT("'1.4 List of airports'!c"&amp;32+ROWS($B$5:C62)-Nb_Airports_80000))</f>
        <v/>
      </c>
      <c r="D62">
        <f ca="1">IF(ROWS($B$5:B62)&lt;=Nb_Airports_80000,INDEX(OFFSET('1.4 List of airports'!$B$8,,,Nb_Airports_80000),ROWS($B$5:B62)),INDIRECT("'1.4 List of airports'!B"&amp;32+ROWS($B$5:B62)-Nb_Airports_80000))</f>
        <v>0</v>
      </c>
    </row>
    <row r="63" spans="2:4">
      <c r="B63" s="369" t="str">
        <f t="shared" ca="1" si="0"/>
        <v/>
      </c>
      <c r="C63" s="70" t="str">
        <f ca="1">$B63&amp;IF($B63="","","-")&amp;IF(ROWS($B$5:C63)&lt;=Nb_Airports_80000,INDEX(OFFSET('1.4 List of airports'!$C$8,,,Nb_Airports_80000),ROWS($B$5:C63)),INDIRECT("'1.4 List of airports'!c"&amp;32+ROWS($B$5:C63)-Nb_Airports_80000))</f>
        <v/>
      </c>
      <c r="D63">
        <f ca="1">IF(ROWS($B$5:B63)&lt;=Nb_Airports_80000,INDEX(OFFSET('1.4 List of airports'!$B$8,,,Nb_Airports_80000),ROWS($B$5:B63)),INDIRECT("'1.4 List of airports'!B"&amp;32+ROWS($B$5:B63)-Nb_Airports_80000))</f>
        <v>0</v>
      </c>
    </row>
    <row r="64" spans="2:4">
      <c r="B64" s="369" t="str">
        <f t="shared" ca="1" si="0"/>
        <v/>
      </c>
      <c r="C64" s="70" t="str">
        <f ca="1">$B64&amp;IF($B64="","","-")&amp;IF(ROWS($B$5:C64)&lt;=Nb_Airports_80000,INDEX(OFFSET('1.4 List of airports'!$C$8,,,Nb_Airports_80000),ROWS($B$5:C64)),INDIRECT("'1.4 List of airports'!c"&amp;32+ROWS($B$5:C64)-Nb_Airports_80000))</f>
        <v/>
      </c>
      <c r="D64">
        <f ca="1">IF(ROWS($B$5:B64)&lt;=Nb_Airports_80000,INDEX(OFFSET('1.4 List of airports'!$B$8,,,Nb_Airports_80000),ROWS($B$5:B64)),INDIRECT("'1.4 List of airports'!B"&amp;32+ROWS($B$5:B64)-Nb_Airports_80000))</f>
        <v>0</v>
      </c>
    </row>
    <row r="65" spans="2:4">
      <c r="B65" s="369" t="str">
        <f t="shared" ca="1" si="0"/>
        <v/>
      </c>
      <c r="C65" s="70" t="str">
        <f ca="1">$B65&amp;IF($B65="","","-")&amp;IF(ROWS($B$5:C65)&lt;=Nb_Airports_80000,INDEX(OFFSET('1.4 List of airports'!$C$8,,,Nb_Airports_80000),ROWS($B$5:C65)),INDIRECT("'1.4 List of airports'!c"&amp;32+ROWS($B$5:C65)-Nb_Airports_80000))</f>
        <v/>
      </c>
      <c r="D65">
        <f ca="1">IF(ROWS($B$5:B65)&lt;=Nb_Airports_80000,INDEX(OFFSET('1.4 List of airports'!$B$8,,,Nb_Airports_80000),ROWS($B$5:B65)),INDIRECT("'1.4 List of airports'!B"&amp;32+ROWS($B$5:B65)-Nb_Airports_80000))</f>
        <v>0</v>
      </c>
    </row>
    <row r="66" spans="2:4">
      <c r="B66" s="369" t="str">
        <f t="shared" ca="1" si="0"/>
        <v/>
      </c>
      <c r="C66" s="70" t="str">
        <f ca="1">$B66&amp;IF($B66="","","-")&amp;IF(ROWS($B$5:C66)&lt;=Nb_Airports_80000,INDEX(OFFSET('1.4 List of airports'!$C$8,,,Nb_Airports_80000),ROWS($B$5:C66)),INDIRECT("'1.4 List of airports'!c"&amp;32+ROWS($B$5:C66)-Nb_Airports_80000))</f>
        <v/>
      </c>
      <c r="D66">
        <f ca="1">IF(ROWS($B$5:B66)&lt;=Nb_Airports_80000,INDEX(OFFSET('1.4 List of airports'!$B$8,,,Nb_Airports_80000),ROWS($B$5:B66)),INDIRECT("'1.4 List of airports'!B"&amp;32+ROWS($B$5:B66)-Nb_Airports_80000))</f>
        <v>0</v>
      </c>
    </row>
    <row r="67" spans="2:4">
      <c r="B67" s="369" t="str">
        <f t="shared" ca="1" si="0"/>
        <v/>
      </c>
      <c r="C67" s="70" t="str">
        <f ca="1">$B67&amp;IF($B67="","","-")&amp;IF(ROWS($B$5:C67)&lt;=Nb_Airports_80000,INDEX(OFFSET('1.4 List of airports'!$C$8,,,Nb_Airports_80000),ROWS($B$5:C67)),INDIRECT("'1.4 List of airports'!c"&amp;32+ROWS($B$5:C67)-Nb_Airports_80000))</f>
        <v/>
      </c>
      <c r="D67">
        <f ca="1">IF(ROWS($B$5:B67)&lt;=Nb_Airports_80000,INDEX(OFFSET('1.4 List of airports'!$B$8,,,Nb_Airports_80000),ROWS($B$5:B67)),INDIRECT("'1.4 List of airports'!B"&amp;32+ROWS($B$5:B67)-Nb_Airports_80000))</f>
        <v>0</v>
      </c>
    </row>
    <row r="68" spans="2:4">
      <c r="B68" s="369" t="str">
        <f t="shared" ca="1" si="0"/>
        <v/>
      </c>
      <c r="C68" s="70" t="str">
        <f ca="1">$B68&amp;IF($B68="","","-")&amp;IF(ROWS($B$5:C68)&lt;=Nb_Airports_80000,INDEX(OFFSET('1.4 List of airports'!$C$8,,,Nb_Airports_80000),ROWS($B$5:C68)),INDIRECT("'1.4 List of airports'!c"&amp;32+ROWS($B$5:C68)-Nb_Airports_80000))</f>
        <v/>
      </c>
      <c r="D68">
        <f ca="1">IF(ROWS($B$5:B68)&lt;=Nb_Airports_80000,INDEX(OFFSET('1.4 List of airports'!$B$8,,,Nb_Airports_80000),ROWS($B$5:B68)),INDIRECT("'1.4 List of airports'!B"&amp;32+ROWS($B$5:B68)-Nb_Airports_80000))</f>
        <v>0</v>
      </c>
    </row>
    <row r="69" spans="2:4">
      <c r="B69" s="369" t="str">
        <f t="shared" ref="B69:B86" ca="1" si="3">IF(OR(D69=0,D69="Additional Comments"),"",D69)</f>
        <v/>
      </c>
      <c r="C69" s="70" t="str">
        <f ca="1">$B69&amp;IF($B69="","","-")&amp;IF(ROWS($B$5:C69)&lt;=Nb_Airports_80000,INDEX(OFFSET('1.4 List of airports'!$C$8,,,Nb_Airports_80000),ROWS($B$5:C69)),INDIRECT("'1.4 List of airports'!c"&amp;32+ROWS($B$5:C69)-Nb_Airports_80000))</f>
        <v/>
      </c>
      <c r="D69">
        <f ca="1">IF(ROWS($B$5:B69)&lt;=Nb_Airports_80000,INDEX(OFFSET('1.4 List of airports'!$B$8,,,Nb_Airports_80000),ROWS($B$5:B69)),INDIRECT("'1.4 List of airports'!B"&amp;32+ROWS($B$5:B69)-Nb_Airports_80000))</f>
        <v>0</v>
      </c>
    </row>
    <row r="70" spans="2:4">
      <c r="B70" s="369" t="str">
        <f t="shared" ca="1" si="3"/>
        <v/>
      </c>
      <c r="C70" s="70" t="str">
        <f ca="1">$B70&amp;IF($B70="","","-")&amp;IF(ROWS($B$5:C70)&lt;=Nb_Airports_80000,INDEX(OFFSET('1.4 List of airports'!$C$8,,,Nb_Airports_80000),ROWS($B$5:C70)),INDIRECT("'1.4 List of airports'!c"&amp;32+ROWS($B$5:C70)-Nb_Airports_80000))</f>
        <v/>
      </c>
      <c r="D70">
        <f ca="1">IF(ROWS($B$5:B70)&lt;=Nb_Airports_80000,INDEX(OFFSET('1.4 List of airports'!$B$8,,,Nb_Airports_80000),ROWS($B$5:B70)),INDIRECT("'1.4 List of airports'!B"&amp;32+ROWS($B$5:B70)-Nb_Airports_80000))</f>
        <v>0</v>
      </c>
    </row>
    <row r="71" spans="2:4">
      <c r="B71" s="369" t="str">
        <f t="shared" ca="1" si="3"/>
        <v/>
      </c>
      <c r="C71" s="70" t="str">
        <f ca="1">$B71&amp;IF($B71="","","-")&amp;IF(ROWS($B$5:C71)&lt;=Nb_Airports_80000,INDEX(OFFSET('1.4 List of airports'!$C$8,,,Nb_Airports_80000),ROWS($B$5:C71)),INDIRECT("'1.4 List of airports'!c"&amp;32+ROWS($B$5:C71)-Nb_Airports_80000))</f>
        <v/>
      </c>
      <c r="D71">
        <f ca="1">IF(ROWS($B$5:B71)&lt;=Nb_Airports_80000,INDEX(OFFSET('1.4 List of airports'!$B$8,,,Nb_Airports_80000),ROWS($B$5:B71)),INDIRECT("'1.4 List of airports'!B"&amp;32+ROWS($B$5:B71)-Nb_Airports_80000))</f>
        <v>0</v>
      </c>
    </row>
    <row r="72" spans="2:4">
      <c r="B72" s="369" t="str">
        <f t="shared" ca="1" si="3"/>
        <v/>
      </c>
      <c r="C72" s="70" t="str">
        <f ca="1">$B72&amp;IF($B72="","","-")&amp;IF(ROWS($B$5:C72)&lt;=Nb_Airports_80000,INDEX(OFFSET('1.4 List of airports'!$C$8,,,Nb_Airports_80000),ROWS($B$5:C72)),INDIRECT("'1.4 List of airports'!c"&amp;32+ROWS($B$5:C72)-Nb_Airports_80000))</f>
        <v/>
      </c>
      <c r="D72">
        <f ca="1">IF(ROWS($B$5:B72)&lt;=Nb_Airports_80000,INDEX(OFFSET('1.4 List of airports'!$B$8,,,Nb_Airports_80000),ROWS($B$5:B72)),INDIRECT("'1.4 List of airports'!B"&amp;32+ROWS($B$5:B72)-Nb_Airports_80000))</f>
        <v>0</v>
      </c>
    </row>
    <row r="73" spans="2:4">
      <c r="B73" s="369" t="str">
        <f t="shared" ca="1" si="3"/>
        <v/>
      </c>
      <c r="C73" s="70" t="str">
        <f ca="1">$B73&amp;IF($B73="","","-")&amp;IF(ROWS($B$5:C73)&lt;=Nb_Airports_80000,INDEX(OFFSET('1.4 List of airports'!$C$8,,,Nb_Airports_80000),ROWS($B$5:C73)),INDIRECT("'1.4 List of airports'!c"&amp;32+ROWS($B$5:C73)-Nb_Airports_80000))</f>
        <v/>
      </c>
      <c r="D73">
        <f ca="1">IF(ROWS($B$5:B73)&lt;=Nb_Airports_80000,INDEX(OFFSET('1.4 List of airports'!$B$8,,,Nb_Airports_80000),ROWS($B$5:B73)),INDIRECT("'1.4 List of airports'!B"&amp;32+ROWS($B$5:B73)-Nb_Airports_80000))</f>
        <v>0</v>
      </c>
    </row>
    <row r="74" spans="2:4">
      <c r="B74" s="369" t="str">
        <f t="shared" ca="1" si="3"/>
        <v/>
      </c>
      <c r="C74" s="70" t="str">
        <f ca="1">$B74&amp;IF($B74="","","-")&amp;IF(ROWS($B$5:C74)&lt;=Nb_Airports_80000,INDEX(OFFSET('1.4 List of airports'!$C$8,,,Nb_Airports_80000),ROWS($B$5:C74)),INDIRECT("'1.4 List of airports'!c"&amp;32+ROWS($B$5:C74)-Nb_Airports_80000))</f>
        <v/>
      </c>
      <c r="D74">
        <f ca="1">IF(ROWS($B$5:B74)&lt;=Nb_Airports_80000,INDEX(OFFSET('1.4 List of airports'!$B$8,,,Nb_Airports_80000),ROWS($B$5:B74)),INDIRECT("'1.4 List of airports'!B"&amp;32+ROWS($B$5:B74)-Nb_Airports_80000))</f>
        <v>0</v>
      </c>
    </row>
    <row r="75" spans="2:4">
      <c r="B75" s="369" t="str">
        <f t="shared" ca="1" si="3"/>
        <v/>
      </c>
      <c r="C75" s="70" t="str">
        <f ca="1">$B75&amp;IF($B75="","","-")&amp;IF(ROWS($B$5:C75)&lt;=Nb_Airports_80000,INDEX(OFFSET('1.4 List of airports'!$C$8,,,Nb_Airports_80000),ROWS($B$5:C75)),INDIRECT("'1.4 List of airports'!c"&amp;32+ROWS($B$5:C75)-Nb_Airports_80000))</f>
        <v/>
      </c>
      <c r="D75">
        <f ca="1">IF(ROWS($B$5:B75)&lt;=Nb_Airports_80000,INDEX(OFFSET('1.4 List of airports'!$B$8,,,Nb_Airports_80000),ROWS($B$5:B75)),INDIRECT("'1.4 List of airports'!B"&amp;32+ROWS($B$5:B75)-Nb_Airports_80000))</f>
        <v>0</v>
      </c>
    </row>
    <row r="76" spans="2:4">
      <c r="B76" s="369" t="str">
        <f t="shared" ca="1" si="3"/>
        <v/>
      </c>
      <c r="C76" s="70" t="str">
        <f ca="1">$B76&amp;IF($B76="","","-")&amp;IF(ROWS($B$5:C76)&lt;=Nb_Airports_80000,INDEX(OFFSET('1.4 List of airports'!$C$8,,,Nb_Airports_80000),ROWS($B$5:C76)),INDIRECT("'1.4 List of airports'!c"&amp;32+ROWS($B$5:C76)-Nb_Airports_80000))</f>
        <v/>
      </c>
      <c r="D76">
        <f ca="1">IF(ROWS($B$5:B76)&lt;=Nb_Airports_80000,INDEX(OFFSET('1.4 List of airports'!$B$8,,,Nb_Airports_80000),ROWS($B$5:B76)),INDIRECT("'1.4 List of airports'!B"&amp;32+ROWS($B$5:B76)-Nb_Airports_80000))</f>
        <v>0</v>
      </c>
    </row>
    <row r="77" spans="2:4">
      <c r="B77" s="369" t="str">
        <f t="shared" ca="1" si="3"/>
        <v/>
      </c>
      <c r="C77" s="70" t="str">
        <f ca="1">$B77&amp;IF($B77="","","-")&amp;IF(ROWS($B$5:C77)&lt;=Nb_Airports_80000,INDEX(OFFSET('1.4 List of airports'!$C$8,,,Nb_Airports_80000),ROWS($B$5:C77)),INDIRECT("'1.4 List of airports'!c"&amp;32+ROWS($B$5:C77)-Nb_Airports_80000))</f>
        <v/>
      </c>
      <c r="D77">
        <f ca="1">IF(ROWS($B$5:B77)&lt;=Nb_Airports_80000,INDEX(OFFSET('1.4 List of airports'!$B$8,,,Nb_Airports_80000),ROWS($B$5:B77)),INDIRECT("'1.4 List of airports'!B"&amp;32+ROWS($B$5:B77)-Nb_Airports_80000))</f>
        <v>0</v>
      </c>
    </row>
    <row r="78" spans="2:4">
      <c r="B78" s="369" t="str">
        <f t="shared" ca="1" si="3"/>
        <v/>
      </c>
      <c r="C78" s="70" t="str">
        <f ca="1">$B78&amp;IF($B78="","","-")&amp;IF(ROWS($B$5:C78)&lt;=Nb_Airports_80000,INDEX(OFFSET('1.4 List of airports'!$C$8,,,Nb_Airports_80000),ROWS($B$5:C78)),INDIRECT("'1.4 List of airports'!c"&amp;32+ROWS($B$5:C78)-Nb_Airports_80000))</f>
        <v/>
      </c>
      <c r="D78">
        <f ca="1">IF(ROWS($B$5:B78)&lt;=Nb_Airports_80000,INDEX(OFFSET('1.4 List of airports'!$B$8,,,Nb_Airports_80000),ROWS($B$5:B78)),INDIRECT("'1.4 List of airports'!B"&amp;32+ROWS($B$5:B78)-Nb_Airports_80000))</f>
        <v>0</v>
      </c>
    </row>
    <row r="79" spans="2:4">
      <c r="B79" s="369" t="str">
        <f t="shared" ca="1" si="3"/>
        <v/>
      </c>
      <c r="C79" s="70" t="str">
        <f ca="1">$B79&amp;IF($B79="","","-")&amp;IF(ROWS($B$5:C79)&lt;=Nb_Airports_80000,INDEX(OFFSET('1.4 List of airports'!$C$8,,,Nb_Airports_80000),ROWS($B$5:C79)),INDIRECT("'1.4 List of airports'!c"&amp;32+ROWS($B$5:C79)-Nb_Airports_80000))</f>
        <v/>
      </c>
      <c r="D79">
        <f ca="1">IF(ROWS($B$5:B79)&lt;=Nb_Airports_80000,INDEX(OFFSET('1.4 List of airports'!$B$8,,,Nb_Airports_80000),ROWS($B$5:B79)),INDIRECT("'1.4 List of airports'!B"&amp;32+ROWS($B$5:B79)-Nb_Airports_80000))</f>
        <v>0</v>
      </c>
    </row>
    <row r="80" spans="2:4">
      <c r="B80" s="369" t="str">
        <f t="shared" ca="1" si="3"/>
        <v/>
      </c>
      <c r="C80" s="70" t="str">
        <f ca="1">$B80&amp;IF($B80="","","-")&amp;IF(ROWS($B$5:C80)&lt;=Nb_Airports_80000,INDEX(OFFSET('1.4 List of airports'!$C$8,,,Nb_Airports_80000),ROWS($B$5:C80)),INDIRECT("'1.4 List of airports'!c"&amp;32+ROWS($B$5:C80)-Nb_Airports_80000))</f>
        <v/>
      </c>
      <c r="D80">
        <f ca="1">IF(ROWS($B$5:B80)&lt;=Nb_Airports_80000,INDEX(OFFSET('1.4 List of airports'!$B$8,,,Nb_Airports_80000),ROWS($B$5:B80)),INDIRECT("'1.4 List of airports'!B"&amp;32+ROWS($B$5:B80)-Nb_Airports_80000))</f>
        <v>0</v>
      </c>
    </row>
    <row r="81" spans="2:4">
      <c r="B81" s="369" t="str">
        <f t="shared" ca="1" si="3"/>
        <v/>
      </c>
      <c r="C81" s="70" t="str">
        <f ca="1">$B81&amp;IF($B81="","","-")&amp;IF(ROWS($B$5:C81)&lt;=Nb_Airports_80000,INDEX(OFFSET('1.4 List of airports'!$C$8,,,Nb_Airports_80000),ROWS($B$5:C81)),INDIRECT("'1.4 List of airports'!c"&amp;32+ROWS($B$5:C81)-Nb_Airports_80000))</f>
        <v/>
      </c>
      <c r="D81">
        <f ca="1">IF(ROWS($B$5:B81)&lt;=Nb_Airports_80000,INDEX(OFFSET('1.4 List of airports'!$B$8,,,Nb_Airports_80000),ROWS($B$5:B81)),INDIRECT("'1.4 List of airports'!B"&amp;32+ROWS($B$5:B81)-Nb_Airports_80000))</f>
        <v>0</v>
      </c>
    </row>
    <row r="82" spans="2:4">
      <c r="B82" s="369" t="str">
        <f t="shared" ca="1" si="3"/>
        <v/>
      </c>
      <c r="C82" s="70" t="str">
        <f ca="1">$B82&amp;IF($B82="","","-")&amp;IF(ROWS($B$5:C82)&lt;=Nb_Airports_80000,INDEX(OFFSET('1.4 List of airports'!$C$8,,,Nb_Airports_80000),ROWS($B$5:C82)),INDIRECT("'1.4 List of airports'!c"&amp;32+ROWS($B$5:C82)-Nb_Airports_80000))</f>
        <v/>
      </c>
      <c r="D82">
        <f ca="1">IF(ROWS($B$5:B82)&lt;=Nb_Airports_80000,INDEX(OFFSET('1.4 List of airports'!$B$8,,,Nb_Airports_80000),ROWS($B$5:B82)),INDIRECT("'1.4 List of airports'!B"&amp;32+ROWS($B$5:B82)-Nb_Airports_80000))</f>
        <v>0</v>
      </c>
    </row>
    <row r="83" spans="2:4">
      <c r="B83" s="369" t="str">
        <f t="shared" ca="1" si="3"/>
        <v/>
      </c>
      <c r="C83" s="70" t="str">
        <f ca="1">$B83&amp;IF($B83="","","-")&amp;IF(ROWS($B$5:C83)&lt;=Nb_Airports_80000,INDEX(OFFSET('1.4 List of airports'!$C$8,,,Nb_Airports_80000),ROWS($B$5:C83)),INDIRECT("'1.4 List of airports'!c"&amp;32+ROWS($B$5:C83)-Nb_Airports_80000))</f>
        <v/>
      </c>
      <c r="D83">
        <f ca="1">IF(ROWS($B$5:B83)&lt;=Nb_Airports_80000,INDEX(OFFSET('1.4 List of airports'!$B$8,,,Nb_Airports_80000),ROWS($B$5:B83)),INDIRECT("'1.4 List of airports'!B"&amp;32+ROWS($B$5:B83)-Nb_Airports_80000))</f>
        <v>0</v>
      </c>
    </row>
    <row r="84" spans="2:4">
      <c r="B84" s="369" t="str">
        <f t="shared" ca="1" si="3"/>
        <v/>
      </c>
      <c r="C84" s="70" t="str">
        <f ca="1">$B84&amp;IF($B84="","","-")&amp;IF(ROWS($B$5:C84)&lt;=Nb_Airports_80000,INDEX(OFFSET('1.4 List of airports'!$C$8,,,Nb_Airports_80000),ROWS($B$5:C84)),INDIRECT("'1.4 List of airports'!c"&amp;32+ROWS($B$5:C84)-Nb_Airports_80000))</f>
        <v/>
      </c>
      <c r="D84">
        <f ca="1">IF(ROWS($B$5:B84)&lt;=Nb_Airports_80000,INDEX(OFFSET('1.4 List of airports'!$B$8,,,Nb_Airports_80000),ROWS($B$5:B84)),INDIRECT("'1.4 List of airports'!B"&amp;32+ROWS($B$5:B84)-Nb_Airports_80000))</f>
        <v>0</v>
      </c>
    </row>
    <row r="85" spans="2:4">
      <c r="B85" s="369" t="str">
        <f t="shared" ca="1" si="3"/>
        <v/>
      </c>
      <c r="C85" s="70" t="str">
        <f ca="1">$B85&amp;IF($B85="","","-")&amp;IF(ROWS($B$5:C85)&lt;=Nb_Airports_80000,INDEX(OFFSET('1.4 List of airports'!$C$8,,,Nb_Airports_80000),ROWS($B$5:C85)),INDIRECT("'1.4 List of airports'!c"&amp;32+ROWS($B$5:C85)-Nb_Airports_80000))</f>
        <v/>
      </c>
      <c r="D85" t="str">
        <f ca="1">IF(ROWS($B$5:B85)&lt;=Nb_Airports_80000,INDEX(OFFSET('1.4 List of airports'!$B$8,,,Nb_Airports_80000),ROWS($B$5:B85)),INDIRECT("'1.4 List of airports'!B"&amp;32+ROWS($B$5:B85)-Nb_Airports_80000))</f>
        <v/>
      </c>
    </row>
    <row r="86" spans="2:4">
      <c r="B86" s="369" t="str">
        <f t="shared" ca="1" si="3"/>
        <v/>
      </c>
      <c r="C86" s="70" t="str">
        <f ca="1">$B86&amp;IF($B86="","","-")&amp;IF(ROWS($B$5:C86)&lt;=Nb_Airports_80000,INDEX(OFFSET('1.4 List of airports'!$C$8,,,Nb_Airports_80000),ROWS($B$5:C86)),INDIRECT("'1.4 List of airports'!c"&amp;32+ROWS($B$5:C86)-Nb_Airports_80000))</f>
        <v/>
      </c>
      <c r="D86">
        <f ca="1">IF(ROWS($B$5:B86)&lt;=Nb_Airports_80000,INDEX(OFFSET('1.4 List of airports'!$B$8,,,Nb_Airports_80000),ROWS($B$5:B86)),INDIRECT("'1.4 List of airports'!B"&amp;32+ROWS($B$5:B86)-Nb_Airports_80000))</f>
        <v>0</v>
      </c>
    </row>
    <row r="87" spans="2:4">
      <c r="B87" s="369" t="str">
        <f ca="1">IF(OR(D87=0,D87="Additional Comments"),"",D87)</f>
        <v/>
      </c>
      <c r="C87" s="70" t="str">
        <f ca="1">$B87&amp;IF($B87="","","-")&amp;IF(ROWS($B$5:C87)&lt;=Nb_Airports_80000,INDEX(OFFSET('1.4 List of airports'!$C$8,,,Nb_Airports_80000),ROWS($B$5:C87)),INDIRECT("'1.4 List of airports'!c"&amp;32+ROWS($B$5:C87)-Nb_Airports_80000))</f>
        <v/>
      </c>
      <c r="D87" t="str">
        <f ca="1">IF(ROWS($B$5:B87)&lt;=Nb_Airports_80000,INDEX(OFFSET('1.4 List of airports'!$B$8,,,Nb_Airports_80000),ROWS($B$5:B87)),INDIRECT("'1.4 List of airports'!B"&amp;32+ROWS($B$5:B87)-Nb_Airports_80000))</f>
        <v>Additional comments</v>
      </c>
    </row>
    <row r="88" spans="2:4">
      <c r="B88" s="369" t="str">
        <f t="shared" ref="B88:B112" ca="1" si="4">IF(OR(D88=0,D88="Additional Comments"),"",D88)</f>
        <v/>
      </c>
      <c r="C88" s="70" t="str">
        <f ca="1">$B88&amp;IF($B88="","","-")&amp;IF(ROWS($B$5:C88)&lt;=Nb_Airports_80000,INDEX(OFFSET('1.4 List of airports'!$C$8,,,Nb_Airports_80000),ROWS($B$5:C88)),INDIRECT("'1.4 List of airports'!c"&amp;32+ROWS($B$5:C88)-Nb_Airports_80000))</f>
        <v/>
      </c>
      <c r="D88">
        <f ca="1">IF(ROWS($B$5:B88)&lt;=Nb_Airports_80000,INDEX(OFFSET('1.4 List of airports'!$B$8,,,Nb_Airports_80000),ROWS($B$5:B88)),INDIRECT("'1.4 List of airports'!B"&amp;32+ROWS($B$5:B88)-Nb_Airports_80000))</f>
        <v>0</v>
      </c>
    </row>
    <row r="89" spans="2:4">
      <c r="B89" s="369" t="str">
        <f t="shared" ca="1" si="4"/>
        <v/>
      </c>
      <c r="C89" s="70" t="str">
        <f ca="1">$B89&amp;IF($B89="","","-")&amp;IF(ROWS($B$5:C89)&lt;=Nb_Airports_80000,INDEX(OFFSET('1.4 List of airports'!$C$8,,,Nb_Airports_80000),ROWS($B$5:C89)),INDIRECT("'1.4 List of airports'!c"&amp;32+ROWS($B$5:C89)-Nb_Airports_80000))</f>
        <v/>
      </c>
      <c r="D89">
        <f ca="1">IF(ROWS($B$5:B89)&lt;=Nb_Airports_80000,INDEX(OFFSET('1.4 List of airports'!$B$8,,,Nb_Airports_80000),ROWS($B$5:B89)),INDIRECT("'1.4 List of airports'!B"&amp;32+ROWS($B$5:B89)-Nb_Airports_80000))</f>
        <v>0</v>
      </c>
    </row>
    <row r="90" spans="2:4">
      <c r="B90" s="369" t="str">
        <f t="shared" ca="1" si="4"/>
        <v/>
      </c>
      <c r="C90" s="70" t="str">
        <f ca="1">$B90&amp;IF($B90="","","-")&amp;IF(ROWS($B$5:C90)&lt;=Nb_Airports_80000,INDEX(OFFSET('1.4 List of airports'!$C$8,,,Nb_Airports_80000),ROWS($B$5:C90)),INDIRECT("'1.4 List of airports'!c"&amp;32+ROWS($B$5:C90)-Nb_Airports_80000))</f>
        <v/>
      </c>
      <c r="D90">
        <f ca="1">IF(ROWS($B$5:B90)&lt;=Nb_Airports_80000,INDEX(OFFSET('1.4 List of airports'!$B$8,,,Nb_Airports_80000),ROWS($B$5:B90)),INDIRECT("'1.4 List of airports'!B"&amp;32+ROWS($B$5:B90)-Nb_Airports_80000))</f>
        <v>0</v>
      </c>
    </row>
    <row r="91" spans="2:4">
      <c r="B91" s="369" t="str">
        <f t="shared" ca="1" si="4"/>
        <v/>
      </c>
      <c r="C91" s="70" t="str">
        <f ca="1">$B91&amp;IF($B91="","","-")&amp;IF(ROWS($B$5:C91)&lt;=Nb_Airports_80000,INDEX(OFFSET('1.4 List of airports'!$C$8,,,Nb_Airports_80000),ROWS($B$5:C91)),INDIRECT("'1.4 List of airports'!c"&amp;32+ROWS($B$5:C91)-Nb_Airports_80000))</f>
        <v/>
      </c>
      <c r="D91">
        <f ca="1">IF(ROWS($B$5:B91)&lt;=Nb_Airports_80000,INDEX(OFFSET('1.4 List of airports'!$B$8,,,Nb_Airports_80000),ROWS($B$5:B91)),INDIRECT("'1.4 List of airports'!B"&amp;32+ROWS($B$5:B91)-Nb_Airports_80000))</f>
        <v>0</v>
      </c>
    </row>
    <row r="92" spans="2:4">
      <c r="B92" s="369" t="str">
        <f t="shared" ca="1" si="4"/>
        <v/>
      </c>
      <c r="C92" s="70" t="str">
        <f ca="1">$B92&amp;IF($B92="","","-")&amp;IF(ROWS($B$5:C92)&lt;=Nb_Airports_80000,INDEX(OFFSET('1.4 List of airports'!$C$8,,,Nb_Airports_80000),ROWS($B$5:C92)),INDIRECT("'1.4 List of airports'!c"&amp;32+ROWS($B$5:C92)-Nb_Airports_80000))</f>
        <v/>
      </c>
      <c r="D92">
        <f ca="1">IF(ROWS($B$5:B92)&lt;=Nb_Airports_80000,INDEX(OFFSET('1.4 List of airports'!$B$8,,,Nb_Airports_80000),ROWS($B$5:B92)),INDIRECT("'1.4 List of airports'!B"&amp;32+ROWS($B$5:B92)-Nb_Airports_80000))</f>
        <v>0</v>
      </c>
    </row>
    <row r="93" spans="2:4">
      <c r="B93" s="369" t="str">
        <f t="shared" ca="1" si="4"/>
        <v/>
      </c>
      <c r="C93" s="70" t="str">
        <f ca="1">$B93&amp;IF($B93="","","-")&amp;IF(ROWS($B$5:C93)&lt;=Nb_Airports_80000,INDEX(OFFSET('1.4 List of airports'!$C$8,,,Nb_Airports_80000),ROWS($B$5:C93)),INDIRECT("'1.4 List of airports'!c"&amp;32+ROWS($B$5:C93)-Nb_Airports_80000))</f>
        <v/>
      </c>
      <c r="D93">
        <f ca="1">IF(ROWS($B$5:B93)&lt;=Nb_Airports_80000,INDEX(OFFSET('1.4 List of airports'!$B$8,,,Nb_Airports_80000),ROWS($B$5:B93)),INDIRECT("'1.4 List of airports'!B"&amp;32+ROWS($B$5:B93)-Nb_Airports_80000))</f>
        <v>0</v>
      </c>
    </row>
    <row r="94" spans="2:4">
      <c r="B94" s="369" t="str">
        <f t="shared" ca="1" si="4"/>
        <v/>
      </c>
      <c r="C94" s="70" t="str">
        <f ca="1">$B94&amp;IF($B94="","","-")&amp;IF(ROWS($B$5:C94)&lt;=Nb_Airports_80000,INDEX(OFFSET('1.4 List of airports'!$C$8,,,Nb_Airports_80000),ROWS($B$5:C94)),INDIRECT("'1.4 List of airports'!c"&amp;32+ROWS($B$5:C94)-Nb_Airports_80000))</f>
        <v/>
      </c>
      <c r="D94">
        <f ca="1">IF(ROWS($B$5:B94)&lt;=Nb_Airports_80000,INDEX(OFFSET('1.4 List of airports'!$B$8,,,Nb_Airports_80000),ROWS($B$5:B94)),INDIRECT("'1.4 List of airports'!B"&amp;32+ROWS($B$5:B94)-Nb_Airports_80000))</f>
        <v>0</v>
      </c>
    </row>
    <row r="95" spans="2:4">
      <c r="B95" s="369" t="str">
        <f t="shared" ca="1" si="4"/>
        <v/>
      </c>
      <c r="C95" s="70" t="str">
        <f ca="1">$B95&amp;IF($B95="","","-")&amp;IF(ROWS($B$5:C95)&lt;=Nb_Airports_80000,INDEX(OFFSET('1.4 List of airports'!$C$8,,,Nb_Airports_80000),ROWS($B$5:C95)),INDIRECT("'1.4 List of airports'!c"&amp;32+ROWS($B$5:C95)-Nb_Airports_80000))</f>
        <v/>
      </c>
      <c r="D95">
        <f ca="1">IF(ROWS($B$5:B95)&lt;=Nb_Airports_80000,INDEX(OFFSET('1.4 List of airports'!$B$8,,,Nb_Airports_80000),ROWS($B$5:B95)),INDIRECT("'1.4 List of airports'!B"&amp;32+ROWS($B$5:B95)-Nb_Airports_80000))</f>
        <v>0</v>
      </c>
    </row>
    <row r="96" spans="2:4">
      <c r="B96" s="369" t="str">
        <f t="shared" ca="1" si="4"/>
        <v/>
      </c>
      <c r="C96" s="70" t="str">
        <f ca="1">$B96&amp;IF($B96="","","-")&amp;IF(ROWS($B$5:C96)&lt;=Nb_Airports_80000,INDEX(OFFSET('1.4 List of airports'!$C$8,,,Nb_Airports_80000),ROWS($B$5:C96)),INDIRECT("'1.4 List of airports'!c"&amp;32+ROWS($B$5:C96)-Nb_Airports_80000))</f>
        <v/>
      </c>
      <c r="D96">
        <f ca="1">IF(ROWS($B$5:B96)&lt;=Nb_Airports_80000,INDEX(OFFSET('1.4 List of airports'!$B$8,,,Nb_Airports_80000),ROWS($B$5:B96)),INDIRECT("'1.4 List of airports'!B"&amp;32+ROWS($B$5:B96)-Nb_Airports_80000))</f>
        <v>0</v>
      </c>
    </row>
    <row r="97" spans="2:4">
      <c r="B97" s="369" t="str">
        <f t="shared" ca="1" si="4"/>
        <v/>
      </c>
      <c r="C97" s="70" t="str">
        <f ca="1">$B97&amp;IF($B97="","","-")&amp;IF(ROWS($B$5:C97)&lt;=Nb_Airports_80000,INDEX(OFFSET('1.4 List of airports'!$C$8,,,Nb_Airports_80000),ROWS($B$5:C97)),INDIRECT("'1.4 List of airports'!c"&amp;32+ROWS($B$5:C97)-Nb_Airports_80000))</f>
        <v/>
      </c>
      <c r="D97">
        <f ca="1">IF(ROWS($B$5:B97)&lt;=Nb_Airports_80000,INDEX(OFFSET('1.4 List of airports'!$B$8,,,Nb_Airports_80000),ROWS($B$5:B97)),INDIRECT("'1.4 List of airports'!B"&amp;32+ROWS($B$5:B97)-Nb_Airports_80000))</f>
        <v>0</v>
      </c>
    </row>
    <row r="98" spans="2:4">
      <c r="B98" s="369" t="str">
        <f t="shared" ca="1" si="4"/>
        <v/>
      </c>
      <c r="C98" s="70" t="str">
        <f ca="1">$B98&amp;IF($B98="","","-")&amp;IF(ROWS($B$5:C98)&lt;=Nb_Airports_80000,INDEX(OFFSET('1.4 List of airports'!$C$8,,,Nb_Airports_80000),ROWS($B$5:C98)),INDIRECT("'1.4 List of airports'!c"&amp;32+ROWS($B$5:C98)-Nb_Airports_80000))</f>
        <v/>
      </c>
      <c r="D98">
        <f ca="1">IF(ROWS($B$5:B98)&lt;=Nb_Airports_80000,INDEX(OFFSET('1.4 List of airports'!$B$8,,,Nb_Airports_80000),ROWS($B$5:B98)),INDIRECT("'1.4 List of airports'!B"&amp;32+ROWS($B$5:B98)-Nb_Airports_80000))</f>
        <v>0</v>
      </c>
    </row>
    <row r="99" spans="2:4">
      <c r="B99" s="369" t="str">
        <f t="shared" ca="1" si="4"/>
        <v/>
      </c>
      <c r="C99" s="70" t="str">
        <f ca="1">$B99&amp;IF($B99="","","-")&amp;IF(ROWS($B$5:C99)&lt;=Nb_Airports_80000,INDEX(OFFSET('1.4 List of airports'!$C$8,,,Nb_Airports_80000),ROWS($B$5:C99)),INDIRECT("'1.4 List of airports'!c"&amp;32+ROWS($B$5:C99)-Nb_Airports_80000))</f>
        <v/>
      </c>
      <c r="D99">
        <f ca="1">IF(ROWS($B$5:B99)&lt;=Nb_Airports_80000,INDEX(OFFSET('1.4 List of airports'!$B$8,,,Nb_Airports_80000),ROWS($B$5:B99)),INDIRECT("'1.4 List of airports'!B"&amp;32+ROWS($B$5:B99)-Nb_Airports_80000))</f>
        <v>0</v>
      </c>
    </row>
    <row r="100" spans="2:4">
      <c r="B100" s="369" t="str">
        <f t="shared" ca="1" si="4"/>
        <v/>
      </c>
      <c r="C100" s="70" t="str">
        <f ca="1">$B100&amp;IF($B100="","","-")&amp;IF(ROWS($B$5:C100)&lt;=Nb_Airports_80000,INDEX(OFFSET('1.4 List of airports'!$C$8,,,Nb_Airports_80000),ROWS($B$5:C100)),INDIRECT("'1.4 List of airports'!c"&amp;32+ROWS($B$5:C100)-Nb_Airports_80000))</f>
        <v/>
      </c>
      <c r="D100">
        <f ca="1">IF(ROWS($B$5:B100)&lt;=Nb_Airports_80000,INDEX(OFFSET('1.4 List of airports'!$B$8,,,Nb_Airports_80000),ROWS($B$5:B100)),INDIRECT("'1.4 List of airports'!B"&amp;32+ROWS($B$5:B100)-Nb_Airports_80000))</f>
        <v>0</v>
      </c>
    </row>
    <row r="101" spans="2:4">
      <c r="B101" s="369" t="str">
        <f t="shared" ca="1" si="4"/>
        <v/>
      </c>
      <c r="C101" s="70" t="str">
        <f ca="1">$B101&amp;IF($B101="","","-")&amp;IF(ROWS($B$5:C101)&lt;=Nb_Airports_80000,INDEX(OFFSET('1.4 List of airports'!$C$8,,,Nb_Airports_80000),ROWS($B$5:C101)),INDIRECT("'1.4 List of airports'!c"&amp;32+ROWS($B$5:C101)-Nb_Airports_80000))</f>
        <v/>
      </c>
      <c r="D101">
        <f ca="1">IF(ROWS($B$5:B101)&lt;=Nb_Airports_80000,INDEX(OFFSET('1.4 List of airports'!$B$8,,,Nb_Airports_80000),ROWS($B$5:B101)),INDIRECT("'1.4 List of airports'!B"&amp;32+ROWS($B$5:B101)-Nb_Airports_80000))</f>
        <v>0</v>
      </c>
    </row>
    <row r="102" spans="2:4">
      <c r="B102" s="369" t="str">
        <f t="shared" ca="1" si="4"/>
        <v/>
      </c>
      <c r="C102" s="70" t="str">
        <f ca="1">$B102&amp;IF($B102="","","-")&amp;IF(ROWS($B$5:C102)&lt;=Nb_Airports_80000,INDEX(OFFSET('1.4 List of airports'!$C$8,,,Nb_Airports_80000),ROWS($B$5:C102)),INDIRECT("'1.4 List of airports'!c"&amp;32+ROWS($B$5:C102)-Nb_Airports_80000))</f>
        <v/>
      </c>
      <c r="D102">
        <f ca="1">IF(ROWS($B$5:B102)&lt;=Nb_Airports_80000,INDEX(OFFSET('1.4 List of airports'!$B$8,,,Nb_Airports_80000),ROWS($B$5:B102)),INDIRECT("'1.4 List of airports'!B"&amp;32+ROWS($B$5:B102)-Nb_Airports_80000))</f>
        <v>0</v>
      </c>
    </row>
    <row r="103" spans="2:4">
      <c r="B103" s="369" t="str">
        <f t="shared" ca="1" si="4"/>
        <v/>
      </c>
      <c r="C103" s="70" t="str">
        <f ca="1">$B103&amp;IF($B103="","","-")&amp;IF(ROWS($B$5:C103)&lt;=Nb_Airports_80000,INDEX(OFFSET('1.4 List of airports'!$C$8,,,Nb_Airports_80000),ROWS($B$5:C103)),INDIRECT("'1.4 List of airports'!c"&amp;32+ROWS($B$5:C103)-Nb_Airports_80000))</f>
        <v/>
      </c>
      <c r="D103">
        <f ca="1">IF(ROWS($B$5:B103)&lt;=Nb_Airports_80000,INDEX(OFFSET('1.4 List of airports'!$B$8,,,Nb_Airports_80000),ROWS($B$5:B103)),INDIRECT("'1.4 List of airports'!B"&amp;32+ROWS($B$5:B103)-Nb_Airports_80000))</f>
        <v>0</v>
      </c>
    </row>
    <row r="104" spans="2:4">
      <c r="B104" s="369" t="str">
        <f t="shared" ca="1" si="4"/>
        <v/>
      </c>
      <c r="C104" s="70" t="str">
        <f ca="1">$B104&amp;IF($B104="","","-")&amp;IF(ROWS($B$5:C104)&lt;=Nb_Airports_80000,INDEX(OFFSET('1.4 List of airports'!$C$8,,,Nb_Airports_80000),ROWS($B$5:C104)),INDIRECT("'1.4 List of airports'!c"&amp;32+ROWS($B$5:C104)-Nb_Airports_80000))</f>
        <v/>
      </c>
      <c r="D104">
        <f ca="1">IF(ROWS($B$5:B104)&lt;=Nb_Airports_80000,INDEX(OFFSET('1.4 List of airports'!$B$8,,,Nb_Airports_80000),ROWS($B$5:B104)),INDIRECT("'1.4 List of airports'!B"&amp;32+ROWS($B$5:B104)-Nb_Airports_80000))</f>
        <v>0</v>
      </c>
    </row>
    <row r="105" spans="2:4">
      <c r="B105" s="369" t="str">
        <f t="shared" ca="1" si="4"/>
        <v/>
      </c>
      <c r="C105" s="70" t="str">
        <f ca="1">$B105&amp;IF($B105="","","-")&amp;IF(ROWS($B$5:C105)&lt;=Nb_Airports_80000,INDEX(OFFSET('1.4 List of airports'!$C$8,,,Nb_Airports_80000),ROWS($B$5:C105)),INDIRECT("'1.4 List of airports'!c"&amp;32+ROWS($B$5:C105)-Nb_Airports_80000))</f>
        <v/>
      </c>
      <c r="D105">
        <f ca="1">IF(ROWS($B$5:B105)&lt;=Nb_Airports_80000,INDEX(OFFSET('1.4 List of airports'!$B$8,,,Nb_Airports_80000),ROWS($B$5:B105)),INDIRECT("'1.4 List of airports'!B"&amp;32+ROWS($B$5:B105)-Nb_Airports_80000))</f>
        <v>0</v>
      </c>
    </row>
    <row r="106" spans="2:4">
      <c r="B106" s="369" t="str">
        <f t="shared" ca="1" si="4"/>
        <v/>
      </c>
      <c r="C106" s="70" t="str">
        <f ca="1">$B106&amp;IF($B106="","","-")&amp;IF(ROWS($B$5:C106)&lt;=Nb_Airports_80000,INDEX(OFFSET('1.4 List of airports'!$C$8,,,Nb_Airports_80000),ROWS($B$5:C106)),INDIRECT("'1.4 List of airports'!c"&amp;32+ROWS($B$5:C106)-Nb_Airports_80000))</f>
        <v/>
      </c>
      <c r="D106">
        <f ca="1">IF(ROWS($B$5:B106)&lt;=Nb_Airports_80000,INDEX(OFFSET('1.4 List of airports'!$B$8,,,Nb_Airports_80000),ROWS($B$5:B106)),INDIRECT("'1.4 List of airports'!B"&amp;32+ROWS($B$5:B106)-Nb_Airports_80000))</f>
        <v>0</v>
      </c>
    </row>
    <row r="107" spans="2:4">
      <c r="B107" s="369" t="str">
        <f t="shared" ca="1" si="4"/>
        <v/>
      </c>
      <c r="C107" s="70" t="str">
        <f ca="1">$B107&amp;IF($B107="","","-")&amp;IF(ROWS($B$5:C107)&lt;=Nb_Airports_80000,INDEX(OFFSET('1.4 List of airports'!$C$8,,,Nb_Airports_80000),ROWS($B$5:C107)),INDIRECT("'1.4 List of airports'!c"&amp;32+ROWS($B$5:C107)-Nb_Airports_80000))</f>
        <v/>
      </c>
      <c r="D107">
        <f ca="1">IF(ROWS($B$5:B107)&lt;=Nb_Airports_80000,INDEX(OFFSET('1.4 List of airports'!$B$8,,,Nb_Airports_80000),ROWS($B$5:B107)),INDIRECT("'1.4 List of airports'!B"&amp;32+ROWS($B$5:B107)-Nb_Airports_80000))</f>
        <v>0</v>
      </c>
    </row>
    <row r="108" spans="2:4">
      <c r="B108" s="369" t="str">
        <f t="shared" ca="1" si="4"/>
        <v/>
      </c>
      <c r="C108" s="70" t="str">
        <f ca="1">$B108&amp;IF($B108="","","-")&amp;IF(ROWS($B$5:C108)&lt;=Nb_Airports_80000,INDEX(OFFSET('1.4 List of airports'!$C$8,,,Nb_Airports_80000),ROWS($B$5:C108)),INDIRECT("'1.4 List of airports'!c"&amp;32+ROWS($B$5:C108)-Nb_Airports_80000))</f>
        <v/>
      </c>
      <c r="D108">
        <f ca="1">IF(ROWS($B$5:B108)&lt;=Nb_Airports_80000,INDEX(OFFSET('1.4 List of airports'!$B$8,,,Nb_Airports_80000),ROWS($B$5:B108)),INDIRECT("'1.4 List of airports'!B"&amp;32+ROWS($B$5:B108)-Nb_Airports_80000))</f>
        <v>0</v>
      </c>
    </row>
    <row r="109" spans="2:4">
      <c r="B109" s="369" t="str">
        <f t="shared" ca="1" si="4"/>
        <v/>
      </c>
      <c r="C109" s="70" t="str">
        <f ca="1">$B109&amp;IF($B109="","","-")&amp;IF(ROWS($B$5:C109)&lt;=Nb_Airports_80000,INDEX(OFFSET('1.4 List of airports'!$C$8,,,Nb_Airports_80000),ROWS($B$5:C109)),INDIRECT("'1.4 List of airports'!c"&amp;32+ROWS($B$5:C109)-Nb_Airports_80000))</f>
        <v/>
      </c>
      <c r="D109">
        <f ca="1">IF(ROWS($B$5:B109)&lt;=Nb_Airports_80000,INDEX(OFFSET('1.4 List of airports'!$B$8,,,Nb_Airports_80000),ROWS($B$5:B109)),INDIRECT("'1.4 List of airports'!B"&amp;32+ROWS($B$5:B109)-Nb_Airports_80000))</f>
        <v>0</v>
      </c>
    </row>
    <row r="110" spans="2:4">
      <c r="B110" s="369" t="str">
        <f t="shared" ca="1" si="4"/>
        <v/>
      </c>
      <c r="C110" s="70" t="str">
        <f ca="1">$B110&amp;IF($B110="","","-")&amp;IF(ROWS($B$5:C110)&lt;=Nb_Airports_80000,INDEX(OFFSET('1.4 List of airports'!$C$8,,,Nb_Airports_80000),ROWS($B$5:C110)),INDIRECT("'1.4 List of airports'!c"&amp;32+ROWS($B$5:C110)-Nb_Airports_80000))</f>
        <v/>
      </c>
      <c r="D110">
        <f ca="1">IF(ROWS($B$5:B110)&lt;=Nb_Airports_80000,INDEX(OFFSET('1.4 List of airports'!$B$8,,,Nb_Airports_80000),ROWS($B$5:B110)),INDIRECT("'1.4 List of airports'!B"&amp;32+ROWS($B$5:B110)-Nb_Airports_80000))</f>
        <v>0</v>
      </c>
    </row>
    <row r="111" spans="2:4">
      <c r="B111" s="369" t="str">
        <f t="shared" ca="1" si="4"/>
        <v/>
      </c>
      <c r="C111" s="70" t="str">
        <f ca="1">$B111&amp;IF($B111="","","-")&amp;IF(ROWS($B$5:C111)&lt;=Nb_Airports_80000,INDEX(OFFSET('1.4 List of airports'!$C$8,,,Nb_Airports_80000),ROWS($B$5:C111)),INDIRECT("'1.4 List of airports'!c"&amp;32+ROWS($B$5:C111)-Nb_Airports_80000))</f>
        <v/>
      </c>
      <c r="D111">
        <f ca="1">IF(ROWS($B$5:B111)&lt;=Nb_Airports_80000,INDEX(OFFSET('1.4 List of airports'!$B$8,,,Nb_Airports_80000),ROWS($B$5:B111)),INDIRECT("'1.4 List of airports'!B"&amp;32+ROWS($B$5:B111)-Nb_Airports_80000))</f>
        <v>0</v>
      </c>
    </row>
    <row r="112" spans="2:4">
      <c r="B112" s="369" t="str">
        <f t="shared" ca="1" si="4"/>
        <v/>
      </c>
      <c r="C112" s="70" t="str">
        <f ca="1">$B112&amp;IF($B112="","","-")&amp;IF(ROWS($B$5:C112)&lt;=Nb_Airports_80000,INDEX(OFFSET('1.4 List of airports'!$C$8,,,Nb_Airports_80000),ROWS($B$5:C112)),INDIRECT("'1.4 List of airports'!c"&amp;32+ROWS($B$5:C112)-Nb_Airports_80000))</f>
        <v/>
      </c>
      <c r="D112">
        <f ca="1">IF(ROWS($B$5:B112)&lt;=Nb_Airports_80000,INDEX(OFFSET('1.4 List of airports'!$B$8,,,Nb_Airports_80000),ROWS($B$5:B112)),INDIRECT("'1.4 List of airports'!B"&amp;32+ROWS($B$5:B112)-Nb_Airports_80000))</f>
        <v>0</v>
      </c>
    </row>
  </sheetData>
  <dataValidations disablePrompts="1" count="1">
    <dataValidation type="list" allowBlank="1" showInputMessage="1" showErrorMessage="1" sqref="G9" xr:uid="{00000000-0002-0000-4600-000000000000}">
      <formula1>INDIRECT($AF$6)</formula1>
    </dataValidation>
  </dataValidation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105">
    <tabColor rgb="FF339966"/>
    <pageSetUpPr fitToPage="1"/>
  </sheetPr>
  <dimension ref="A1:AL92"/>
  <sheetViews>
    <sheetView showGridLines="0" zoomScale="85" zoomScaleNormal="85" workbookViewId="0">
      <selection activeCell="B2" sqref="B2"/>
    </sheetView>
  </sheetViews>
  <sheetFormatPr defaultColWidth="9.140625" defaultRowHeight="15"/>
  <cols>
    <col min="1" max="1" width="9.140625" style="16"/>
    <col min="2" max="2" width="22.28515625" style="16" customWidth="1"/>
    <col min="3" max="23" width="9.140625" style="16"/>
    <col min="24" max="28" width="9.28515625" style="16" bestFit="1" customWidth="1"/>
    <col min="29" max="29" width="11.5703125" style="16" bestFit="1" customWidth="1"/>
    <col min="30" max="30" width="12.42578125" style="16" bestFit="1" customWidth="1"/>
    <col min="31" max="33" width="9.28515625" style="16" bestFit="1" customWidth="1"/>
    <col min="34" max="16384" width="9.140625" style="16"/>
  </cols>
  <sheetData>
    <row r="1" spans="1:38">
      <c r="A1" s="5" t="s">
        <v>222</v>
      </c>
      <c r="B1" s="44" t="s">
        <v>700</v>
      </c>
      <c r="V1" s="44" t="s">
        <v>701</v>
      </c>
      <c r="Z1" s="16">
        <f>COLUMN(Z1)</f>
        <v>26</v>
      </c>
    </row>
    <row r="2" spans="1:38" ht="15" customHeight="1">
      <c r="A2" s="8"/>
    </row>
    <row r="3" spans="1:38">
      <c r="B3" s="80" t="s">
        <v>1627</v>
      </c>
      <c r="C3" s="79"/>
      <c r="D3" s="79"/>
      <c r="E3" s="79"/>
      <c r="F3" s="79"/>
      <c r="G3" s="78"/>
      <c r="H3" s="78"/>
      <c r="I3" s="78"/>
      <c r="J3" s="78"/>
      <c r="K3" s="78"/>
      <c r="L3" s="78"/>
      <c r="M3" s="78"/>
      <c r="N3" s="78"/>
      <c r="O3" s="78"/>
      <c r="P3" s="78"/>
      <c r="Q3" s="78"/>
      <c r="R3" s="78"/>
      <c r="S3" s="78"/>
      <c r="V3" s="80" t="s">
        <v>381</v>
      </c>
      <c r="W3" s="79"/>
      <c r="X3" s="79"/>
      <c r="Y3" s="79"/>
      <c r="Z3" s="79"/>
      <c r="AA3" s="78"/>
      <c r="AB3" s="78"/>
      <c r="AC3" s="78"/>
      <c r="AD3" s="78"/>
      <c r="AE3" s="78"/>
      <c r="AF3" s="78"/>
      <c r="AG3" s="78"/>
      <c r="AH3" s="78"/>
    </row>
    <row r="4" spans="1:38" customFormat="1">
      <c r="B4" s="78" t="s">
        <v>382</v>
      </c>
      <c r="C4" s="78"/>
      <c r="D4" s="78">
        <v>2020</v>
      </c>
      <c r="E4" s="78">
        <v>2021</v>
      </c>
      <c r="F4" s="78">
        <v>2022</v>
      </c>
      <c r="G4" s="78">
        <v>2023</v>
      </c>
      <c r="H4" s="78">
        <v>2024</v>
      </c>
      <c r="I4" s="77" t="s">
        <v>342</v>
      </c>
      <c r="J4" s="78" t="s">
        <v>388</v>
      </c>
      <c r="K4" s="78"/>
      <c r="L4" s="78"/>
      <c r="M4" s="78"/>
      <c r="N4" s="78"/>
      <c r="O4" s="78"/>
      <c r="P4" s="78"/>
      <c r="Q4" s="78"/>
      <c r="R4" s="78"/>
      <c r="S4" s="78"/>
      <c r="V4" s="78" t="s">
        <v>382</v>
      </c>
      <c r="W4" s="78"/>
      <c r="X4" s="78">
        <v>2020</v>
      </c>
      <c r="Y4" s="78">
        <v>2021</v>
      </c>
      <c r="Z4" s="78">
        <v>2022</v>
      </c>
      <c r="AA4" s="78">
        <v>2023</v>
      </c>
      <c r="AB4" s="78">
        <v>2024</v>
      </c>
      <c r="AC4" s="77" t="s">
        <v>342</v>
      </c>
      <c r="AD4" s="78" t="s">
        <v>388</v>
      </c>
      <c r="AE4" s="78"/>
      <c r="AF4" s="78"/>
      <c r="AG4" s="78"/>
      <c r="AH4" s="78"/>
    </row>
    <row r="5" spans="1:38" customFormat="1">
      <c r="B5" s="78" t="s">
        <v>383</v>
      </c>
      <c r="C5" s="78"/>
      <c r="D5" s="327">
        <f>'5.2.1 Capacity Incentives_ER'!F22</f>
        <v>0</v>
      </c>
      <c r="E5" s="327">
        <f>'5.2.1 Capacity Incentives_ER'!G22</f>
        <v>0</v>
      </c>
      <c r="F5" s="327">
        <f>'5.2.1 Capacity Incentives_ER'!H22</f>
        <v>0.16</v>
      </c>
      <c r="G5" s="327">
        <f>'5.2.1 Capacity Incentives_ER'!I22</f>
        <v>0.15</v>
      </c>
      <c r="H5" s="327">
        <f>'5.2.1 Capacity Incentives_ER'!J22</f>
        <v>0.15</v>
      </c>
      <c r="I5" s="329">
        <f>'5.2.1 Capacity Incentives_ER'!$E$10</f>
        <v>0.01</v>
      </c>
      <c r="J5" s="329">
        <f>'5.2.1 Capacity Incentives_ER'!$E$11</f>
        <v>0.01</v>
      </c>
      <c r="K5" s="78"/>
      <c r="L5" s="78"/>
      <c r="M5" s="78"/>
      <c r="N5" s="78"/>
      <c r="O5" s="77" t="s">
        <v>1400</v>
      </c>
      <c r="P5" s="331" t="s">
        <v>1401</v>
      </c>
      <c r="Q5" s="331" t="s">
        <v>1402</v>
      </c>
      <c r="R5" s="332"/>
      <c r="S5" s="78"/>
      <c r="V5" s="78" t="s">
        <v>383</v>
      </c>
      <c r="W5" s="78"/>
      <c r="X5" s="327">
        <f>'5.2.2 Capacity Incentives_TMZ'!F18</f>
        <v>0</v>
      </c>
      <c r="Y5" s="327">
        <f>'5.2.2 Capacity Incentives_TMZ'!G18</f>
        <v>0</v>
      </c>
      <c r="Z5" s="327">
        <f>'5.2.2 Capacity Incentives_TMZ'!H18</f>
        <v>0</v>
      </c>
      <c r="AA5" s="327">
        <f>'5.2.2 Capacity Incentives_TMZ'!I18</f>
        <v>0</v>
      </c>
      <c r="AB5" s="327">
        <f>'5.2.2 Capacity Incentives_TMZ'!J18</f>
        <v>0</v>
      </c>
      <c r="AC5" s="329">
        <f>'5.2.2 Capacity Incentives_TMZ'!$E$9</f>
        <v>0</v>
      </c>
      <c r="AD5" s="329">
        <f>'5.2.2 Capacity Incentives_TMZ'!$E$10</f>
        <v>0</v>
      </c>
      <c r="AE5" s="78"/>
      <c r="AF5" s="78"/>
      <c r="AG5" s="78"/>
      <c r="AH5" s="78"/>
      <c r="AI5" s="77" t="s">
        <v>1400</v>
      </c>
      <c r="AJ5" s="331" t="s">
        <v>1401</v>
      </c>
      <c r="AK5" s="331" t="s">
        <v>1402</v>
      </c>
      <c r="AL5" s="332"/>
    </row>
    <row r="6" spans="1:38" customFormat="1">
      <c r="B6" s="77" t="s">
        <v>384</v>
      </c>
      <c r="C6" s="78"/>
      <c r="D6" s="78">
        <f>IF(D$20="-",D$5,D$20)</f>
        <v>-0.02</v>
      </c>
      <c r="E6" s="78">
        <f>IF(E$20="-",E$5,E$20)</f>
        <v>-0.02</v>
      </c>
      <c r="F6" s="78">
        <f>IF(F$20="-",F$5,F$20)</f>
        <v>0.14000000000000001</v>
      </c>
      <c r="G6" s="78">
        <f>IF(G$20="-",G$5,G$20)</f>
        <v>0.13</v>
      </c>
      <c r="H6" s="78">
        <f>IF(H$20="-",H$5,H$20)</f>
        <v>0.13</v>
      </c>
      <c r="I6" s="78" t="s">
        <v>389</v>
      </c>
      <c r="J6" s="78" t="s">
        <v>390</v>
      </c>
      <c r="K6" s="77" t="s">
        <v>391</v>
      </c>
      <c r="L6" s="77" t="s">
        <v>1481</v>
      </c>
      <c r="M6" s="77" t="s">
        <v>1482</v>
      </c>
      <c r="N6" s="78"/>
      <c r="O6" s="332" t="s">
        <v>1403</v>
      </c>
      <c r="P6" s="333">
        <f>F14-0.1*(F16-F14)/2</f>
        <v>8.1900000000000001E-2</v>
      </c>
      <c r="Q6" s="334">
        <f>F17</f>
        <v>-0.01</v>
      </c>
      <c r="R6" s="332"/>
      <c r="S6" s="78"/>
      <c r="V6" s="77" t="s">
        <v>384</v>
      </c>
      <c r="W6" s="78"/>
      <c r="X6" s="78">
        <f>IF(X$20="-",X$5,X$20)</f>
        <v>0</v>
      </c>
      <c r="Y6" s="78">
        <f>IF(Y$20="-",Y$5,Y$20)</f>
        <v>0</v>
      </c>
      <c r="Z6" s="78">
        <f>IF(Z$20="-",Z$5,Z$20)</f>
        <v>0</v>
      </c>
      <c r="AA6" s="78">
        <f>IF(AA$20="-",AA$5,AA$20)</f>
        <v>0</v>
      </c>
      <c r="AB6" s="78">
        <f>IF(AB$20="-",AB$5,AB$20)</f>
        <v>0</v>
      </c>
      <c r="AC6" s="78" t="s">
        <v>389</v>
      </c>
      <c r="AD6" s="78" t="s">
        <v>390</v>
      </c>
      <c r="AE6" s="77" t="s">
        <v>391</v>
      </c>
      <c r="AF6" s="77" t="s">
        <v>1481</v>
      </c>
      <c r="AG6" s="77" t="s">
        <v>1482</v>
      </c>
      <c r="AH6" s="78"/>
      <c r="AI6" s="332" t="s">
        <v>1403</v>
      </c>
      <c r="AJ6" s="333">
        <f>Z14-0.1*(Z16-Z14)/2</f>
        <v>0</v>
      </c>
      <c r="AK6" s="334">
        <f>Z17</f>
        <v>0</v>
      </c>
      <c r="AL6" s="332"/>
    </row>
    <row r="7" spans="1:38" customFormat="1">
      <c r="B7" s="78"/>
      <c r="C7" s="78"/>
      <c r="D7" s="78">
        <v>0</v>
      </c>
      <c r="E7" s="78">
        <v>0</v>
      </c>
      <c r="F7" s="78">
        <v>0</v>
      </c>
      <c r="G7" s="78">
        <v>0</v>
      </c>
      <c r="H7" s="78">
        <v>0</v>
      </c>
      <c r="I7" s="330">
        <f>IF('5.2.1 Capacity Incentives_ER'!E11&gt;0.02,-'5.2.1 Capacity Incentives_ER'!E11-0.005,-0.025)</f>
        <v>-2.5000000000000001E-2</v>
      </c>
      <c r="J7" s="78">
        <v>2.5000000000000001E-2</v>
      </c>
      <c r="K7" s="77" t="str">
        <f>"Δ of determined costs in year "&amp;F$4</f>
        <v>Δ of determined costs in year 2022</v>
      </c>
      <c r="L7" s="328" t="str">
        <f>IF('5.2.1 Capacity Incentives_ER'!$J$57="yes","Enroute ATFM delay (min)*","Enroute ATFM delay (min)")</f>
        <v>Enroute ATFM delay (min)</v>
      </c>
      <c r="M7" s="328" t="str">
        <f>IF('5.2.1 Capacity Incentives_ER'!$J$57="yes","*Only C, R, S, T, M, P causes","")</f>
        <v/>
      </c>
      <c r="N7" s="78"/>
      <c r="O7" s="332" t="s">
        <v>1404</v>
      </c>
      <c r="P7" s="333">
        <f>MAX(0,P6)</f>
        <v>8.1900000000000001E-2</v>
      </c>
      <c r="Q7" s="334">
        <v>0</v>
      </c>
      <c r="R7" s="332"/>
      <c r="S7" s="78"/>
      <c r="V7" s="78"/>
      <c r="W7" s="78"/>
      <c r="X7" s="78">
        <v>0</v>
      </c>
      <c r="Y7" s="78">
        <v>0</v>
      </c>
      <c r="Z7" s="78">
        <v>0</v>
      </c>
      <c r="AA7" s="78">
        <v>0</v>
      </c>
      <c r="AB7" s="78">
        <v>0</v>
      </c>
      <c r="AC7" s="330">
        <f>IF('5.2.2 Capacity Incentives_TMZ'!E10&gt;0.02,-'5.2.2 Capacity Incentives_TMZ'!E10-0.005,-0.025)</f>
        <v>-2.5000000000000001E-2</v>
      </c>
      <c r="AD7" s="78">
        <v>2.5000000000000001E-2</v>
      </c>
      <c r="AE7" s="77" t="str">
        <f>"Δ of determined costs in year "&amp;Z$4</f>
        <v>Δ of determined costs in year 2022</v>
      </c>
      <c r="AF7" s="328" t="str">
        <f>IF('5.2.2 Capacity Incentives_TMZ'!$J$51="yes","Terminal ATFM delay (min)*","Terminal ATFM delay (min)")</f>
        <v>Terminal ATFM delay (min)</v>
      </c>
      <c r="AG7" s="328" t="str">
        <f>IF('5.2.2 Capacity Incentives_TMZ'!$J$51="yes","*Only C, R, S, T, M, P causes","")</f>
        <v/>
      </c>
      <c r="AH7" s="78"/>
      <c r="AI7" s="332" t="s">
        <v>1404</v>
      </c>
      <c r="AJ7" s="333">
        <f>MAX(0,AJ6)</f>
        <v>0</v>
      </c>
      <c r="AK7" s="334">
        <v>0</v>
      </c>
      <c r="AL7" s="332"/>
    </row>
    <row r="8" spans="1:38" customFormat="1">
      <c r="B8" s="77" t="s">
        <v>386</v>
      </c>
      <c r="C8" s="78"/>
      <c r="D8" s="78">
        <f>IF(D$22="-",D$5,D$22)</f>
        <v>0</v>
      </c>
      <c r="E8" s="78">
        <f>IF(E$22="-",E$5,E$22)</f>
        <v>0</v>
      </c>
      <c r="F8" s="78">
        <f>IF(F$22="-",F$5,F$22)</f>
        <v>0.11</v>
      </c>
      <c r="G8" s="78">
        <f>IF(G$22="-",G$5,G$22)</f>
        <v>9.9999999999999992E-2</v>
      </c>
      <c r="H8" s="78">
        <f>IF(H$22="-",H$5,H$22)</f>
        <v>9.9999999999999992E-2</v>
      </c>
      <c r="I8" s="77" t="s">
        <v>393</v>
      </c>
      <c r="J8" s="77" t="s">
        <v>392</v>
      </c>
      <c r="K8" s="77" t="s">
        <v>403</v>
      </c>
      <c r="L8" s="77" t="s">
        <v>404</v>
      </c>
      <c r="M8" s="77" t="s">
        <v>407</v>
      </c>
      <c r="N8" s="332" t="s">
        <v>1408</v>
      </c>
      <c r="O8" s="335" t="s">
        <v>1405</v>
      </c>
      <c r="P8" s="332">
        <f>F16+0.1*(F16-F14)/2</f>
        <v>0.23810000000000003</v>
      </c>
      <c r="Q8" s="336">
        <f>F15+0.002</f>
        <v>1.2E-2</v>
      </c>
      <c r="R8" s="332"/>
      <c r="S8" s="78"/>
      <c r="V8" s="77" t="s">
        <v>386</v>
      </c>
      <c r="W8" s="78"/>
      <c r="X8" s="78">
        <f>IF(X$22="-",X$5,X$22)</f>
        <v>0</v>
      </c>
      <c r="Y8" s="78">
        <f>IF(Y$22="-",Y$5,Y$22)</f>
        <v>0</v>
      </c>
      <c r="Z8" s="78">
        <f>IF(Z$22="-",Z$5,Z$22)</f>
        <v>0</v>
      </c>
      <c r="AA8" s="78">
        <f>IF(AA$22="-",AA$5,AA$22)</f>
        <v>0</v>
      </c>
      <c r="AB8" s="78">
        <f>IF(AB$22="-",AB$5,AB$22)</f>
        <v>0</v>
      </c>
      <c r="AC8" s="77" t="s">
        <v>393</v>
      </c>
      <c r="AD8" s="77" t="s">
        <v>392</v>
      </c>
      <c r="AE8" s="77" t="s">
        <v>403</v>
      </c>
      <c r="AF8" s="77" t="s">
        <v>404</v>
      </c>
      <c r="AG8" s="77" t="s">
        <v>407</v>
      </c>
      <c r="AH8" s="332" t="s">
        <v>1408</v>
      </c>
      <c r="AI8" s="335" t="s">
        <v>1405</v>
      </c>
      <c r="AJ8" s="332">
        <f>Z16+0.1*(Z16-Z14)/2</f>
        <v>0</v>
      </c>
      <c r="AK8" s="336">
        <f>Z15</f>
        <v>0</v>
      </c>
      <c r="AL8" s="332"/>
    </row>
    <row r="9" spans="1:38">
      <c r="A9"/>
      <c r="B9" s="78"/>
      <c r="C9" s="78"/>
      <c r="D9" s="81">
        <f>$I$5</f>
        <v>0.01</v>
      </c>
      <c r="E9" s="81">
        <f>$I$5</f>
        <v>0.01</v>
      </c>
      <c r="F9" s="81">
        <f>$I$5</f>
        <v>0.01</v>
      </c>
      <c r="G9" s="81">
        <f>$I$5</f>
        <v>0.01</v>
      </c>
      <c r="H9" s="81">
        <f>$I$5</f>
        <v>0.01</v>
      </c>
      <c r="I9" s="77" t="str">
        <f>IFERROR("y = "&amp;ROUND(F9/(F8-F6),3)&amp;"x"&amp;IF(ROUND(-F6*F9/(F8-F6),3)&gt;=0,"+"&amp;ROUND(-F6*F9/(F8-F6),3),ROUND(-F6*F9/(F8-F6),3)),"-")</f>
        <v>y = -0.333x+0.047</v>
      </c>
      <c r="J9" s="77" t="str">
        <f>IFERROR("y = "&amp;ROUND(F13/(F12-F10),3)&amp;"x"&amp;IF(ROUND(-F10*F13/(F12-F10),3)&gt;=0,"+"&amp;ROUND(-F10*F13/(F12-F10),3),ROUND(-F10*F13/(F12-F10),3)),"-")</f>
        <v>y = -0.333x+0.06</v>
      </c>
      <c r="K9" s="78">
        <f>F6</f>
        <v>0.14000000000000001</v>
      </c>
      <c r="L9" s="78">
        <f>F10</f>
        <v>0.18</v>
      </c>
      <c r="M9" s="78">
        <f>IF(F20&lt;0,F21/2,F5)</f>
        <v>0.16</v>
      </c>
      <c r="N9" s="332">
        <v>0</v>
      </c>
      <c r="O9" s="332"/>
      <c r="P9" s="332"/>
      <c r="Q9" s="332"/>
      <c r="R9" s="332"/>
      <c r="S9" s="78"/>
      <c r="V9" s="78"/>
      <c r="W9" s="78"/>
      <c r="X9" s="81">
        <f>$AC$5</f>
        <v>0</v>
      </c>
      <c r="Y9" s="81">
        <f>$AC$5</f>
        <v>0</v>
      </c>
      <c r="Z9" s="81">
        <f>$AC$5</f>
        <v>0</v>
      </c>
      <c r="AA9" s="81">
        <f>$AC$5</f>
        <v>0</v>
      </c>
      <c r="AB9" s="81">
        <f>$AC$5</f>
        <v>0</v>
      </c>
      <c r="AC9" s="77" t="str">
        <f>IFERROR("y = "&amp;ROUND(Z9/(Z8-Z6),3)&amp;"x"&amp;IF(ROUND(-Z6*Z9/(Z8-Z6),3)&gt;0,"+"&amp;ROUND(-Z6*Z9/(Z8-Z6),3),ROUND(-Z6*Z9/(Z8-Z6),3)),"-")</f>
        <v>-</v>
      </c>
      <c r="AD9" s="77" t="str">
        <f>IFERROR("y = "&amp;ROUND(Z13/(Z12-Z10),3)&amp;"x"&amp;IF(ROUND(-Z10*Z13/(Z12-Z10),3)&gt;0,"+"&amp;ROUND(-Z10*Z13/(Z12-Z10),3),ROUND(-Z10*Z13/(Z12-Z10),3)),"-")</f>
        <v>-</v>
      </c>
      <c r="AE9" s="78">
        <f>Z6</f>
        <v>0</v>
      </c>
      <c r="AF9" s="78">
        <f>Z10</f>
        <v>0</v>
      </c>
      <c r="AG9" s="78">
        <f>Z5</f>
        <v>0</v>
      </c>
      <c r="AH9" s="332" t="str">
        <f>IF(AND(Z14&lt;0,Z5&lt;&gt;0),0,"")</f>
        <v/>
      </c>
      <c r="AI9" s="332"/>
      <c r="AJ9" s="332"/>
      <c r="AK9" s="332"/>
      <c r="AL9" s="332"/>
    </row>
    <row r="10" spans="1:38">
      <c r="B10" s="77" t="s">
        <v>385</v>
      </c>
      <c r="C10" s="78"/>
      <c r="D10" s="78">
        <f>IF(D$21="-",D$5,D$21)</f>
        <v>0.02</v>
      </c>
      <c r="E10" s="78">
        <f>IF(E$21="-",E$5,E$21)</f>
        <v>0.02</v>
      </c>
      <c r="F10" s="78">
        <f>IF(F$21="-",F$5,F$21)</f>
        <v>0.18</v>
      </c>
      <c r="G10" s="78">
        <f>IF(G$21="-",G$5,G$21)</f>
        <v>0.16999999999999998</v>
      </c>
      <c r="H10" s="78">
        <f>IF(H$21="-",H$5,H$21)</f>
        <v>0.16999999999999998</v>
      </c>
      <c r="I10" s="77" t="s">
        <v>394</v>
      </c>
      <c r="J10" s="77" t="s">
        <v>394</v>
      </c>
      <c r="K10" s="78">
        <v>-3.0000000000000001E-3</v>
      </c>
      <c r="L10" s="78">
        <f>K10</f>
        <v>-3.0000000000000001E-3</v>
      </c>
      <c r="M10" s="78">
        <f>0.0055</f>
        <v>5.4999999999999997E-3</v>
      </c>
      <c r="N10" s="78"/>
      <c r="O10" s="332"/>
      <c r="P10" s="332"/>
      <c r="Q10" s="332"/>
      <c r="R10" s="335"/>
      <c r="S10" s="78"/>
      <c r="V10" s="77" t="s">
        <v>385</v>
      </c>
      <c r="W10" s="78"/>
      <c r="X10" s="78">
        <f>IF(X$21="-",X$5,X$21)</f>
        <v>0</v>
      </c>
      <c r="Y10" s="78">
        <f>IF(Y$21="-",Y$5,Y$21)</f>
        <v>0</v>
      </c>
      <c r="Z10" s="78">
        <f>IF(Z$21="-",Z$5,Z$21)</f>
        <v>0</v>
      </c>
      <c r="AA10" s="78">
        <f>IF(AA$21="-",AA$5,AA$21)</f>
        <v>0</v>
      </c>
      <c r="AB10" s="78">
        <f>IF(AB$21="-",AB$5,AB$21)</f>
        <v>0</v>
      </c>
      <c r="AC10" s="77" t="s">
        <v>394</v>
      </c>
      <c r="AD10" s="77" t="s">
        <v>394</v>
      </c>
      <c r="AE10" s="78">
        <v>-3.0000000000000001E-3</v>
      </c>
      <c r="AF10" s="78">
        <f>AE10</f>
        <v>-3.0000000000000001E-3</v>
      </c>
      <c r="AG10" s="78">
        <f>0.0055</f>
        <v>5.4999999999999997E-3</v>
      </c>
      <c r="AH10" s="78"/>
      <c r="AI10" s="332"/>
      <c r="AJ10" s="332"/>
      <c r="AK10" s="332"/>
      <c r="AL10" s="335"/>
    </row>
    <row r="11" spans="1:38" customFormat="1">
      <c r="B11" s="78"/>
      <c r="C11" s="78"/>
      <c r="D11" s="78">
        <v>0</v>
      </c>
      <c r="E11" s="78">
        <v>0</v>
      </c>
      <c r="F11" s="78">
        <v>0</v>
      </c>
      <c r="G11" s="78">
        <v>0</v>
      </c>
      <c r="H11" s="78">
        <v>0</v>
      </c>
      <c r="I11" s="78">
        <f>IFERROR(F6-(F6-F8)*2/3,"-")</f>
        <v>0.12000000000000001</v>
      </c>
      <c r="J11" s="78">
        <f>IFERROR(F10+(F12-F10)*2/3,"-")</f>
        <v>0.2</v>
      </c>
      <c r="K11" s="78">
        <v>0</v>
      </c>
      <c r="L11" s="78">
        <f>K11</f>
        <v>0</v>
      </c>
      <c r="M11" s="78"/>
      <c r="N11" s="78"/>
      <c r="O11" s="77"/>
      <c r="P11" s="70"/>
      <c r="Q11" s="70" t="s">
        <v>1406</v>
      </c>
      <c r="R11" s="70" t="s">
        <v>1407</v>
      </c>
      <c r="S11" s="78"/>
      <c r="V11" s="78"/>
      <c r="W11" s="78"/>
      <c r="X11" s="78">
        <v>0</v>
      </c>
      <c r="Y11" s="78">
        <v>0</v>
      </c>
      <c r="Z11" s="78">
        <v>0</v>
      </c>
      <c r="AA11" s="78">
        <v>0</v>
      </c>
      <c r="AB11" s="78">
        <v>0</v>
      </c>
      <c r="AC11" s="78">
        <f>IFERROR(Z6-(Z6-Z8)*2/3,"-")</f>
        <v>0</v>
      </c>
      <c r="AD11" s="78">
        <f>IFERROR(Z10+(Z12-Z10)*2/3,"-")</f>
        <v>0</v>
      </c>
      <c r="AE11" s="78">
        <v>0</v>
      </c>
      <c r="AF11" s="78">
        <f>AE11</f>
        <v>0</v>
      </c>
      <c r="AG11" s="78"/>
      <c r="AH11" s="78"/>
      <c r="AI11" s="77"/>
      <c r="AJ11" s="70"/>
      <c r="AK11" s="70" t="s">
        <v>1406</v>
      </c>
      <c r="AL11" s="70" t="s">
        <v>1407</v>
      </c>
    </row>
    <row r="12" spans="1:38" customFormat="1">
      <c r="B12" s="77" t="s">
        <v>387</v>
      </c>
      <c r="C12" s="78"/>
      <c r="D12" s="78">
        <f>IF(D$23="-",D$5,D$23)</f>
        <v>0</v>
      </c>
      <c r="E12" s="78">
        <f>IF(E$23="-",E$5,E$23)</f>
        <v>0</v>
      </c>
      <c r="F12" s="78">
        <f>IF(F$23="-",F$5,F$23)</f>
        <v>0.21000000000000002</v>
      </c>
      <c r="G12" s="78">
        <f>IF(G$23="-",G$5,G$23)</f>
        <v>0.2</v>
      </c>
      <c r="H12" s="78">
        <f>IF(H$23="-",H$5,H$23)</f>
        <v>0.2</v>
      </c>
      <c r="I12" s="78">
        <f>IFERROR(I11*F9/(F8-F6)-F6*F9/(F8-F6)+0.0006,"-")</f>
        <v>7.2666666666666678E-3</v>
      </c>
      <c r="J12" s="78">
        <f>IFERROR(J11*F13/(F12-F10)-F10*F13/(F12-F10)-0.0006,"-")</f>
        <v>-7.2666666666666678E-3</v>
      </c>
      <c r="K12" s="78"/>
      <c r="L12" s="78"/>
      <c r="M12" s="78"/>
      <c r="N12" s="78"/>
      <c r="O12" s="337">
        <f>P6</f>
        <v>8.1900000000000001E-2</v>
      </c>
      <c r="P12" s="70">
        <f>1000*(O12-$O$12)/($O$15-$O$12)</f>
        <v>0</v>
      </c>
      <c r="Q12" s="334">
        <f>Q6</f>
        <v>-0.01</v>
      </c>
      <c r="R12" s="334">
        <f>+Q8-Q6</f>
        <v>2.1999999999999999E-2</v>
      </c>
      <c r="S12" s="78"/>
      <c r="V12" s="77" t="s">
        <v>387</v>
      </c>
      <c r="W12" s="78"/>
      <c r="X12" s="78">
        <f>IF(X$23="-",X$5,X$23)</f>
        <v>0</v>
      </c>
      <c r="Y12" s="78">
        <f>IF(Y$23="-",Y$5,Y$23)</f>
        <v>0</v>
      </c>
      <c r="Z12" s="78">
        <f>IF(Z$23="-",Z$5,Z$23)</f>
        <v>0</v>
      </c>
      <c r="AA12" s="78">
        <f>IF(AA$23="-",AA$5,AA$23)</f>
        <v>0</v>
      </c>
      <c r="AB12" s="78">
        <f>IF(AB$23="-",AB$5,AB$23)</f>
        <v>0</v>
      </c>
      <c r="AC12" s="78" t="str">
        <f>IFERROR(AC11*Z9/(Z8-Z6)-Z6*Z9/(Z8-Z6)+0.0006,"-")</f>
        <v>-</v>
      </c>
      <c r="AD12" s="78" t="str">
        <f>IFERROR(AD11*Z13/(Z12-Z10)-Z10*Z13/(Z12-Z10)-0.0006,"-")</f>
        <v>-</v>
      </c>
      <c r="AE12" s="78"/>
      <c r="AF12" s="78"/>
      <c r="AG12" s="78"/>
      <c r="AH12" s="78"/>
      <c r="AI12" s="337">
        <f>AJ6</f>
        <v>0</v>
      </c>
      <c r="AJ12" s="70" t="e">
        <f>1000*(AI12-$AI$12)/($AI$15-$AI$12)</f>
        <v>#DIV/0!</v>
      </c>
      <c r="AK12" s="334">
        <f>AK6</f>
        <v>0</v>
      </c>
      <c r="AL12" s="334">
        <f>+AK8-AK6</f>
        <v>0</v>
      </c>
    </row>
    <row r="13" spans="1:38" customFormat="1">
      <c r="B13" s="78"/>
      <c r="C13" s="78"/>
      <c r="D13" s="81">
        <f>-$J$5</f>
        <v>-0.01</v>
      </c>
      <c r="E13" s="81">
        <f>-$J$5</f>
        <v>-0.01</v>
      </c>
      <c r="F13" s="81">
        <f>-$J$5</f>
        <v>-0.01</v>
      </c>
      <c r="G13" s="81">
        <f>-$J$5</f>
        <v>-0.01</v>
      </c>
      <c r="H13" s="81">
        <f>-$J$5</f>
        <v>-0.01</v>
      </c>
      <c r="I13" s="78"/>
      <c r="J13" s="78"/>
      <c r="K13" s="78"/>
      <c r="L13" s="78"/>
      <c r="M13" s="78"/>
      <c r="N13" s="78"/>
      <c r="O13" s="337">
        <f>P7</f>
        <v>8.1900000000000001E-2</v>
      </c>
      <c r="P13" s="70">
        <f t="shared" ref="P13:P15" si="0">1000*(O13-$O$12)/($O$15-$O$12)</f>
        <v>0</v>
      </c>
      <c r="Q13" s="334">
        <f>Q6</f>
        <v>-0.01</v>
      </c>
      <c r="R13" s="334">
        <f>+Q8-Q6</f>
        <v>2.1999999999999999E-2</v>
      </c>
      <c r="S13" s="78"/>
      <c r="V13" s="78"/>
      <c r="W13" s="78"/>
      <c r="X13" s="81">
        <f>-$AD$5</f>
        <v>0</v>
      </c>
      <c r="Y13" s="81">
        <f>-$AD$5</f>
        <v>0</v>
      </c>
      <c r="Z13" s="81">
        <f>-$AD$5</f>
        <v>0</v>
      </c>
      <c r="AA13" s="81">
        <f>-$AD$5</f>
        <v>0</v>
      </c>
      <c r="AB13" s="81">
        <f>-$AD$5</f>
        <v>0</v>
      </c>
      <c r="AC13" s="78"/>
      <c r="AD13" s="78"/>
      <c r="AE13" s="78"/>
      <c r="AF13" s="78"/>
      <c r="AG13" s="78"/>
      <c r="AH13" s="78"/>
      <c r="AI13" s="337">
        <f>AJ7</f>
        <v>0</v>
      </c>
      <c r="AJ13" s="70" t="e">
        <f t="shared" ref="AJ13:AJ15" si="1">1000*(AI13-$AI$12)/($AI$15-$AI$12)</f>
        <v>#DIV/0!</v>
      </c>
      <c r="AK13" s="334">
        <f>AK6</f>
        <v>0</v>
      </c>
      <c r="AL13" s="334">
        <f>+AK8-AK6</f>
        <v>0</v>
      </c>
    </row>
    <row r="14" spans="1:38" customFormat="1">
      <c r="B14" s="78" t="s">
        <v>1382</v>
      </c>
      <c r="C14" s="78"/>
      <c r="D14" s="78">
        <f>D8-0.1*ABS(D12)</f>
        <v>0</v>
      </c>
      <c r="E14" s="78">
        <f t="shared" ref="E14:H14" si="2">E8-0.1*ABS(E12)</f>
        <v>0</v>
      </c>
      <c r="F14" s="78">
        <f t="shared" si="2"/>
        <v>8.8999999999999996E-2</v>
      </c>
      <c r="G14" s="78">
        <f t="shared" si="2"/>
        <v>7.9999999999999988E-2</v>
      </c>
      <c r="H14" s="78">
        <f t="shared" si="2"/>
        <v>7.9999999999999988E-2</v>
      </c>
      <c r="I14" s="82"/>
      <c r="J14" s="26"/>
      <c r="K14" s="26"/>
      <c r="L14" s="26"/>
      <c r="M14" s="26"/>
      <c r="N14" s="26"/>
      <c r="O14" s="337">
        <f>P7</f>
        <v>8.1900000000000001E-2</v>
      </c>
      <c r="P14" s="70">
        <f t="shared" si="0"/>
        <v>0</v>
      </c>
      <c r="Q14" s="334">
        <v>0</v>
      </c>
      <c r="R14" s="334">
        <v>0</v>
      </c>
      <c r="S14" s="26"/>
      <c r="V14" s="77" t="s">
        <v>1382</v>
      </c>
      <c r="W14" s="78"/>
      <c r="X14" s="16"/>
      <c r="Y14" s="26"/>
      <c r="Z14" s="78">
        <f>Z8-0.1*ABS(Z12)</f>
        <v>0</v>
      </c>
      <c r="AA14" s="26">
        <f>0.1*(+Z14+Z16)/2</f>
        <v>0</v>
      </c>
      <c r="AB14" s="26">
        <f>Z14-AA14</f>
        <v>0</v>
      </c>
      <c r="AC14" s="82"/>
      <c r="AD14" s="26"/>
      <c r="AE14" s="26"/>
      <c r="AF14" s="26"/>
      <c r="AG14" s="26"/>
      <c r="AH14" s="26"/>
      <c r="AI14" s="337">
        <f>AJ7</f>
        <v>0</v>
      </c>
      <c r="AJ14" s="70" t="e">
        <f t="shared" si="1"/>
        <v>#DIV/0!</v>
      </c>
      <c r="AK14" s="334">
        <v>0</v>
      </c>
      <c r="AL14" s="334">
        <v>0</v>
      </c>
    </row>
    <row r="15" spans="1:38" customFormat="1">
      <c r="B15" s="312"/>
      <c r="C15" s="78"/>
      <c r="D15" s="81">
        <f>+D9</f>
        <v>0.01</v>
      </c>
      <c r="E15" s="81">
        <f t="shared" ref="E15:H15" si="3">+E9</f>
        <v>0.01</v>
      </c>
      <c r="F15" s="81">
        <f t="shared" si="3"/>
        <v>0.01</v>
      </c>
      <c r="G15" s="81">
        <f t="shared" si="3"/>
        <v>0.01</v>
      </c>
      <c r="H15" s="81">
        <f t="shared" si="3"/>
        <v>0.01</v>
      </c>
      <c r="I15" s="26"/>
      <c r="J15" s="26"/>
      <c r="K15" s="26"/>
      <c r="L15" s="26"/>
      <c r="M15" s="26"/>
      <c r="N15" s="26"/>
      <c r="O15" s="332">
        <f>P8</f>
        <v>0.23810000000000003</v>
      </c>
      <c r="P15" s="70">
        <f t="shared" si="0"/>
        <v>1000.0000000000001</v>
      </c>
      <c r="Q15" s="334">
        <v>0</v>
      </c>
      <c r="R15" s="334">
        <v>0</v>
      </c>
      <c r="S15" s="26"/>
      <c r="V15" s="312"/>
      <c r="W15" s="78"/>
      <c r="X15" s="16"/>
      <c r="Y15" s="26"/>
      <c r="Z15" s="81">
        <f>+Z9</f>
        <v>0</v>
      </c>
      <c r="AA15" s="26"/>
      <c r="AB15" s="26">
        <f>+Z16+AA14</f>
        <v>0</v>
      </c>
      <c r="AC15" s="26"/>
      <c r="AD15" s="26"/>
      <c r="AE15" s="26"/>
      <c r="AF15" s="26"/>
      <c r="AG15" s="26"/>
      <c r="AH15" s="26"/>
      <c r="AI15" s="332">
        <f>AJ8</f>
        <v>0</v>
      </c>
      <c r="AJ15" s="70" t="e">
        <f t="shared" si="1"/>
        <v>#DIV/0!</v>
      </c>
      <c r="AK15" s="334">
        <v>0</v>
      </c>
      <c r="AL15" s="334">
        <v>0</v>
      </c>
    </row>
    <row r="16" spans="1:38" customFormat="1">
      <c r="B16" s="78" t="s">
        <v>1383</v>
      </c>
      <c r="C16" s="78"/>
      <c r="D16" s="78">
        <f>1.1*D12</f>
        <v>0</v>
      </c>
      <c r="E16" s="78">
        <f t="shared" ref="E16:H16" si="4">1.1*E12</f>
        <v>0</v>
      </c>
      <c r="F16" s="78">
        <f t="shared" si="4"/>
        <v>0.23100000000000004</v>
      </c>
      <c r="G16" s="78">
        <f t="shared" si="4"/>
        <v>0.22000000000000003</v>
      </c>
      <c r="H16" s="78">
        <f t="shared" si="4"/>
        <v>0.22000000000000003</v>
      </c>
      <c r="I16" s="26"/>
      <c r="J16" s="26"/>
      <c r="K16" s="26"/>
      <c r="L16" s="26"/>
      <c r="M16" s="26"/>
      <c r="N16" s="26"/>
      <c r="O16" s="26"/>
      <c r="P16" s="26"/>
      <c r="Q16" s="26"/>
      <c r="R16" s="26"/>
      <c r="S16" s="26"/>
      <c r="V16" s="77" t="s">
        <v>1383</v>
      </c>
      <c r="W16" s="78"/>
      <c r="X16" s="16"/>
      <c r="Y16" s="26"/>
      <c r="Z16" s="78">
        <f>1.1*Z12</f>
        <v>0</v>
      </c>
      <c r="AA16" s="26"/>
      <c r="AB16" s="26"/>
      <c r="AC16" s="26"/>
      <c r="AD16" s="26"/>
      <c r="AE16" s="26"/>
      <c r="AF16" s="26"/>
      <c r="AG16" s="26"/>
      <c r="AH16" s="26"/>
    </row>
    <row r="17" spans="1:34">
      <c r="B17" s="78"/>
      <c r="C17" s="78"/>
      <c r="D17" s="81">
        <f>D13</f>
        <v>-0.01</v>
      </c>
      <c r="E17" s="81">
        <f t="shared" ref="E17:H17" si="5">E13</f>
        <v>-0.01</v>
      </c>
      <c r="F17" s="81">
        <f t="shared" si="5"/>
        <v>-0.01</v>
      </c>
      <c r="G17" s="81">
        <f t="shared" si="5"/>
        <v>-0.01</v>
      </c>
      <c r="H17" s="81">
        <f t="shared" si="5"/>
        <v>-0.01</v>
      </c>
      <c r="I17" s="26"/>
      <c r="J17" s="26"/>
      <c r="K17" s="26"/>
      <c r="L17" s="26"/>
      <c r="M17" s="26"/>
      <c r="N17" s="26"/>
      <c r="O17" s="26"/>
      <c r="P17" s="26"/>
      <c r="Q17" s="26"/>
      <c r="R17" s="26"/>
      <c r="S17" s="26"/>
      <c r="V17" s="78"/>
      <c r="W17" s="78"/>
      <c r="Y17" s="26"/>
      <c r="Z17" s="81">
        <f>Z13</f>
        <v>0</v>
      </c>
      <c r="AA17" s="26"/>
      <c r="AB17" s="26"/>
      <c r="AC17" s="26"/>
      <c r="AD17" s="26"/>
      <c r="AE17" s="26"/>
      <c r="AF17" s="26"/>
      <c r="AG17" s="26"/>
      <c r="AH17" s="26"/>
    </row>
    <row r="18" spans="1:34" customFormat="1">
      <c r="B18" s="26"/>
      <c r="C18" s="26"/>
      <c r="D18" s="26"/>
      <c r="E18" s="26"/>
      <c r="F18" s="26"/>
      <c r="G18" s="26"/>
      <c r="H18" s="26"/>
      <c r="I18" s="26"/>
      <c r="J18" s="26"/>
      <c r="K18" s="26"/>
      <c r="L18" s="26"/>
      <c r="M18" s="26"/>
      <c r="N18" s="26"/>
      <c r="O18" s="26"/>
      <c r="P18" s="26"/>
      <c r="Q18" s="26"/>
      <c r="R18" s="26"/>
      <c r="S18" s="26"/>
      <c r="V18" s="26"/>
      <c r="W18" s="26"/>
      <c r="X18" s="26"/>
      <c r="Y18" s="26"/>
      <c r="Z18" s="26"/>
      <c r="AA18" s="26"/>
      <c r="AB18" s="26"/>
      <c r="AC18" s="26"/>
      <c r="AD18" s="26"/>
      <c r="AE18" s="26"/>
      <c r="AF18" s="26"/>
      <c r="AG18" s="26"/>
      <c r="AH18" s="26"/>
    </row>
    <row r="19" spans="1:34" customFormat="1">
      <c r="B19" s="78"/>
      <c r="C19" s="78"/>
      <c r="D19" s="78">
        <v>2020</v>
      </c>
      <c r="E19" s="78">
        <v>2021</v>
      </c>
      <c r="F19" s="78">
        <v>2022</v>
      </c>
      <c r="G19" s="78">
        <v>2023</v>
      </c>
      <c r="H19" s="78">
        <v>2024</v>
      </c>
      <c r="I19" s="26"/>
      <c r="J19" s="26"/>
      <c r="K19" s="26"/>
      <c r="L19" s="26"/>
      <c r="M19" s="26"/>
      <c r="N19" s="26"/>
      <c r="O19" s="26"/>
      <c r="P19" s="26"/>
      <c r="Q19" s="26"/>
      <c r="R19" s="26"/>
      <c r="S19" s="26"/>
      <c r="V19" s="78"/>
      <c r="W19" s="78"/>
      <c r="X19" s="78">
        <v>2020</v>
      </c>
      <c r="Y19" s="78">
        <v>2021</v>
      </c>
      <c r="Z19" s="78">
        <v>2022</v>
      </c>
      <c r="AA19" s="78">
        <v>2023</v>
      </c>
      <c r="AB19" s="78">
        <v>2024</v>
      </c>
      <c r="AC19" s="26"/>
      <c r="AD19" s="26"/>
      <c r="AE19" s="26"/>
      <c r="AF19" s="26"/>
      <c r="AG19" s="26"/>
      <c r="AH19" s="26"/>
    </row>
    <row r="20" spans="1:34" customFormat="1">
      <c r="B20" s="77" t="s">
        <v>359</v>
      </c>
      <c r="C20" s="77" t="s">
        <v>413</v>
      </c>
      <c r="D20" s="328">
        <f>IFERROR(IF('5.2.1 Capacity Incentives_ER'!$D$9="fraction of min",'5.2.1 Capacity Incentives_ER'!F$22-'5.2.1 Capacity Incentives_ER'!$E$9,IF('5.2.1 Capacity Incentives_ER'!$D$9="%",'5.2.1 Capacity Incentives_ER'!F$22*(1-'5.2.1 Capacity Incentives_ER'!$E$9),"-")),"-")</f>
        <v>-0.02</v>
      </c>
      <c r="E20" s="328">
        <f>IFERROR(IF('5.2.1 Capacity Incentives_ER'!$D$9="fraction of min",'5.2.1 Capacity Incentives_ER'!G$22-'5.2.1 Capacity Incentives_ER'!$E$9,IF('5.2.1 Capacity Incentives_ER'!$D$9="%",'5.2.1 Capacity Incentives_ER'!G$22*(1-'5.2.1 Capacity Incentives_ER'!$E$9),"-")),"-")</f>
        <v>-0.02</v>
      </c>
      <c r="F20" s="328">
        <f>IFERROR(IF('5.2.1 Capacity Incentives_ER'!$D$9="fraction of min",'5.2.1 Capacity Incentives_ER'!H$22-'5.2.1 Capacity Incentives_ER'!$E$9,IF('5.2.1 Capacity Incentives_ER'!$D$9="%",'5.2.1 Capacity Incentives_ER'!H$22*(1-'5.2.1 Capacity Incentives_ER'!$E$9),"-")),"-")</f>
        <v>0.14000000000000001</v>
      </c>
      <c r="G20" s="328">
        <f>IFERROR(IF('5.2.1 Capacity Incentives_ER'!$D$9="fraction of min",'5.2.1 Capacity Incentives_ER'!I$22-'5.2.1 Capacity Incentives_ER'!$E$9,IF('5.2.1 Capacity Incentives_ER'!$D$9="%",'5.2.1 Capacity Incentives_ER'!I$22*(1-'5.2.1 Capacity Incentives_ER'!$E$9),"-")),"-")</f>
        <v>0.13</v>
      </c>
      <c r="H20" s="328">
        <f>IFERROR(IF('5.2.1 Capacity Incentives_ER'!$D$9="fraction of min",'5.2.1 Capacity Incentives_ER'!J$22-'5.2.1 Capacity Incentives_ER'!$E$9,IF('5.2.1 Capacity Incentives_ER'!$D$9="%",'5.2.1 Capacity Incentives_ER'!J$22*(1-'5.2.1 Capacity Incentives_ER'!$E$9),"-")),"-")</f>
        <v>0.13</v>
      </c>
      <c r="I20" s="26"/>
      <c r="J20" s="26"/>
      <c r="K20" s="26"/>
      <c r="L20" s="26"/>
      <c r="M20" s="26"/>
      <c r="N20" s="26"/>
      <c r="O20" s="26"/>
      <c r="P20" s="26"/>
      <c r="Q20" s="26"/>
      <c r="R20" s="26"/>
      <c r="S20" s="26"/>
      <c r="V20" s="77" t="s">
        <v>359</v>
      </c>
      <c r="W20" s="77" t="s">
        <v>413</v>
      </c>
      <c r="X20" s="328" t="str">
        <f>IFERROR(IF('5.2.2 Capacity Incentives_TMZ'!$D$7="fraction of min",'5.2.2 Capacity Incentives_TMZ'!F$18-'5.2.2 Capacity Incentives_TMZ'!$E$7,IF('5.2.2 Capacity Incentives_TMZ'!$D$7="%",'5.2.2 Capacity Incentives_TMZ'!F$18*(1-'5.2.2 Capacity Incentives_TMZ'!$E$7),"-")),"-")</f>
        <v>-</v>
      </c>
      <c r="Y20" s="328" t="str">
        <f>IFERROR(IF('5.2.2 Capacity Incentives_TMZ'!$D$7="fraction of min",'5.2.2 Capacity Incentives_TMZ'!G$18-'5.2.2 Capacity Incentives_TMZ'!$E$7,IF('5.2.2 Capacity Incentives_TMZ'!$D$7="%",'5.2.2 Capacity Incentives_TMZ'!G$18*(1-'5.2.2 Capacity Incentives_TMZ'!$E$7),"-")),"-")</f>
        <v>-</v>
      </c>
      <c r="Z20" s="328" t="str">
        <f>IFERROR(IF('5.2.2 Capacity Incentives_TMZ'!$D$7="fraction of min",'5.2.2 Capacity Incentives_TMZ'!H$18-'5.2.2 Capacity Incentives_TMZ'!$E$7,IF('5.2.2 Capacity Incentives_TMZ'!$D$7="%",'5.2.2 Capacity Incentives_TMZ'!H$18*(1-'5.2.2 Capacity Incentives_TMZ'!$E$7),"-")),"-")</f>
        <v>-</v>
      </c>
      <c r="AA20" s="328" t="str">
        <f>IFERROR(IF('5.2.2 Capacity Incentives_TMZ'!$D$7="fraction of min",'5.2.2 Capacity Incentives_TMZ'!I$18-'5.2.2 Capacity Incentives_TMZ'!$E$7,IF('5.2.2 Capacity Incentives_TMZ'!$D$7="%",'5.2.2 Capacity Incentives_TMZ'!I$18*(1-'5.2.2 Capacity Incentives_TMZ'!$E$7),"-")),"-")</f>
        <v>-</v>
      </c>
      <c r="AB20" s="328" t="str">
        <f>IFERROR(IF('5.2.2 Capacity Incentives_TMZ'!$D$7="fraction of min",'5.2.2 Capacity Incentives_TMZ'!J$18-'5.2.2 Capacity Incentives_TMZ'!$E$7,IF('5.2.2 Capacity Incentives_TMZ'!$D$7="%",'5.2.2 Capacity Incentives_TMZ'!J$18*(1-'5.2.2 Capacity Incentives_TMZ'!$E$7),"-")),"-")</f>
        <v>-</v>
      </c>
      <c r="AC20" s="26"/>
      <c r="AD20" s="26"/>
      <c r="AE20" s="26"/>
      <c r="AF20" s="26"/>
      <c r="AG20" s="26"/>
      <c r="AH20" s="26"/>
    </row>
    <row r="21" spans="1:34" customFormat="1">
      <c r="B21" s="78"/>
      <c r="C21" s="77" t="s">
        <v>414</v>
      </c>
      <c r="D21" s="328">
        <f>IFERROR(IF('5.2.1 Capacity Incentives_ER'!$D$9="fraction of min",'5.2.1 Capacity Incentives_ER'!F$22+'5.2.1 Capacity Incentives_ER'!$E$9,IF('5.2.1 Capacity Incentives_ER'!$D$9="%",'5.2.1 Capacity Incentives_ER'!F$22*(1+'5.2.1 Capacity Incentives_ER'!$E$9),"-")),"-")</f>
        <v>0.02</v>
      </c>
      <c r="E21" s="328">
        <f>IFERROR(IF('5.2.1 Capacity Incentives_ER'!$D$9="fraction of min",'5.2.1 Capacity Incentives_ER'!G$22+'5.2.1 Capacity Incentives_ER'!$E$9,IF('5.2.1 Capacity Incentives_ER'!$D$9="%",'5.2.1 Capacity Incentives_ER'!G$22*(1+'5.2.1 Capacity Incentives_ER'!$E$9),"-")),"-")</f>
        <v>0.02</v>
      </c>
      <c r="F21" s="328">
        <f>IFERROR(IF('5.2.1 Capacity Incentives_ER'!$D$9="fraction of min",'5.2.1 Capacity Incentives_ER'!H$22+'5.2.1 Capacity Incentives_ER'!$E$9,IF('5.2.1 Capacity Incentives_ER'!$D$9="%",'5.2.1 Capacity Incentives_ER'!H$22*(1+'5.2.1 Capacity Incentives_ER'!$E$9),"-")),"-")</f>
        <v>0.18</v>
      </c>
      <c r="G21" s="328">
        <f>IFERROR(IF('5.2.1 Capacity Incentives_ER'!$D$9="fraction of min",'5.2.1 Capacity Incentives_ER'!I$22+'5.2.1 Capacity Incentives_ER'!$E$9,IF('5.2.1 Capacity Incentives_ER'!$D$9="%",'5.2.1 Capacity Incentives_ER'!I$22*(1+'5.2.1 Capacity Incentives_ER'!$E$9),"-")),"-")</f>
        <v>0.16999999999999998</v>
      </c>
      <c r="H21" s="328">
        <f>IFERROR(IF('5.2.1 Capacity Incentives_ER'!$D$9="fraction of min",'5.2.1 Capacity Incentives_ER'!J$22+'5.2.1 Capacity Incentives_ER'!$E$9,IF('5.2.1 Capacity Incentives_ER'!$D$9="%",'5.2.1 Capacity Incentives_ER'!J$22*(1+'5.2.1 Capacity Incentives_ER'!$E$9),"-")),"-")</f>
        <v>0.16999999999999998</v>
      </c>
      <c r="I21" s="16"/>
      <c r="J21" s="16"/>
      <c r="K21" s="16"/>
      <c r="L21" s="16"/>
      <c r="M21" s="16"/>
      <c r="N21" s="16"/>
      <c r="O21" s="16"/>
      <c r="P21" s="16"/>
      <c r="Q21" s="16"/>
      <c r="R21" s="16"/>
      <c r="S21" s="16"/>
      <c r="V21" s="78"/>
      <c r="W21" s="77" t="s">
        <v>414</v>
      </c>
      <c r="X21" s="328" t="str">
        <f>IFERROR(IF('5.2.2 Capacity Incentives_TMZ'!$D$7="fraction of min",'5.2.2 Capacity Incentives_TMZ'!F$18+'5.2.2 Capacity Incentives_TMZ'!$E$7,IF('5.2.2 Capacity Incentives_TMZ'!$D$7="%",'5.2.2 Capacity Incentives_TMZ'!F$18*(1+'5.2.2 Capacity Incentives_TMZ'!$E$7),"-")),"-")</f>
        <v>-</v>
      </c>
      <c r="Y21" s="328" t="str">
        <f>IFERROR(IF('5.2.2 Capacity Incentives_TMZ'!$D$7="fraction of min",'5.2.2 Capacity Incentives_TMZ'!G$18+'5.2.2 Capacity Incentives_TMZ'!$E$7,IF('5.2.2 Capacity Incentives_TMZ'!$D$7="%",'5.2.2 Capacity Incentives_TMZ'!G$18*(1+'5.2.2 Capacity Incentives_TMZ'!$E$7),"-")),"-")</f>
        <v>-</v>
      </c>
      <c r="Z21" s="328" t="str">
        <f>IFERROR(IF('5.2.2 Capacity Incentives_TMZ'!$D$7="fraction of min",'5.2.2 Capacity Incentives_TMZ'!H$18+'5.2.2 Capacity Incentives_TMZ'!$E$7,IF('5.2.2 Capacity Incentives_TMZ'!$D$7="%",'5.2.2 Capacity Incentives_TMZ'!H$18*(1+'5.2.2 Capacity Incentives_TMZ'!$E$7),"-")),"-")</f>
        <v>-</v>
      </c>
      <c r="AA21" s="328" t="str">
        <f>IFERROR(IF('5.2.2 Capacity Incentives_TMZ'!$D$7="fraction of min",'5.2.2 Capacity Incentives_TMZ'!I$18+'5.2.2 Capacity Incentives_TMZ'!$E$7,IF('5.2.2 Capacity Incentives_TMZ'!$D$7="%",'5.2.2 Capacity Incentives_TMZ'!I$18*(1+'5.2.2 Capacity Incentives_TMZ'!$E$7),"-")),"-")</f>
        <v>-</v>
      </c>
      <c r="AB21" s="328" t="str">
        <f>IFERROR(IF('5.2.2 Capacity Incentives_TMZ'!$D$7="fraction of min",'5.2.2 Capacity Incentives_TMZ'!J$18+'5.2.2 Capacity Incentives_TMZ'!$E$7,IF('5.2.2 Capacity Incentives_TMZ'!$D$7="%",'5.2.2 Capacity Incentives_TMZ'!J$18*(1+'5.2.2 Capacity Incentives_TMZ'!$E$7),"-")),"-")</f>
        <v>-</v>
      </c>
      <c r="AC21" s="16"/>
      <c r="AD21" s="16"/>
      <c r="AE21" s="16"/>
      <c r="AF21" s="16"/>
      <c r="AG21" s="16"/>
      <c r="AH21" s="16"/>
    </row>
    <row r="22" spans="1:34" customFormat="1">
      <c r="B22" s="77" t="s">
        <v>415</v>
      </c>
      <c r="C22" s="77" t="s">
        <v>413</v>
      </c>
      <c r="D22" s="328">
        <f>IFERROR('5.2.1 Capacity Incentives_ER'!F$22-'5.2.1 Capacity Incentives_ER'!F$20,"-")</f>
        <v>0</v>
      </c>
      <c r="E22" s="328">
        <f>IFERROR('5.2.1 Capacity Incentives_ER'!G$22-'5.2.1 Capacity Incentives_ER'!G$20,"-")</f>
        <v>0</v>
      </c>
      <c r="F22" s="328">
        <f>IFERROR('5.2.1 Capacity Incentives_ER'!H$22-'5.2.1 Capacity Incentives_ER'!H$20,"-")</f>
        <v>0.11</v>
      </c>
      <c r="G22" s="328">
        <f>IFERROR('5.2.1 Capacity Incentives_ER'!I$22-'5.2.1 Capacity Incentives_ER'!I$20,"-")</f>
        <v>9.9999999999999992E-2</v>
      </c>
      <c r="H22" s="328">
        <f>IFERROR('5.2.1 Capacity Incentives_ER'!J$22-'5.2.1 Capacity Incentives_ER'!J$20,"-")</f>
        <v>9.9999999999999992E-2</v>
      </c>
      <c r="I22" s="16"/>
      <c r="J22" s="16"/>
      <c r="K22" s="16"/>
      <c r="L22" s="16"/>
      <c r="M22" s="16"/>
      <c r="N22" s="16"/>
      <c r="O22" s="16"/>
      <c r="P22" s="16"/>
      <c r="Q22" s="16"/>
      <c r="R22" s="16"/>
      <c r="S22" s="16"/>
      <c r="V22" s="77" t="s">
        <v>415</v>
      </c>
      <c r="W22" s="77" t="s">
        <v>413</v>
      </c>
      <c r="X22" s="328">
        <f>IFERROR('5.2.2 Capacity Incentives_TMZ'!F$18*(1-'5.2.2 Capacity Incentives_TMZ'!$E$8),"-")</f>
        <v>0</v>
      </c>
      <c r="Y22" s="328">
        <f>IFERROR('5.2.2 Capacity Incentives_TMZ'!G$18*(1-'5.2.2 Capacity Incentives_TMZ'!$E$8),"-")</f>
        <v>0</v>
      </c>
      <c r="Z22" s="328">
        <f>IFERROR('5.2.2 Capacity Incentives_TMZ'!H$18*(1-'5.2.2 Capacity Incentives_TMZ'!$E$8),"-")</f>
        <v>0</v>
      </c>
      <c r="AA22" s="328">
        <f>IFERROR('5.2.2 Capacity Incentives_TMZ'!I$18*(1-'5.2.2 Capacity Incentives_TMZ'!$E$8),"-")</f>
        <v>0</v>
      </c>
      <c r="AB22" s="328">
        <f>IFERROR('5.2.2 Capacity Incentives_TMZ'!J$18*(1-'5.2.2 Capacity Incentives_TMZ'!$E$8),"-")</f>
        <v>0</v>
      </c>
      <c r="AC22" s="16"/>
      <c r="AD22" s="16"/>
      <c r="AE22" s="16"/>
      <c r="AF22" s="16"/>
      <c r="AG22" s="16"/>
      <c r="AH22" s="16"/>
    </row>
    <row r="23" spans="1:34">
      <c r="A23"/>
      <c r="B23" s="78"/>
      <c r="C23" s="77" t="s">
        <v>414</v>
      </c>
      <c r="D23" s="328">
        <f>IFERROR('5.2.1 Capacity Incentives_ER'!F$22+'5.2.1 Capacity Incentives_ER'!F$20,"-")</f>
        <v>0</v>
      </c>
      <c r="E23" s="328">
        <f>IFERROR('5.2.1 Capacity Incentives_ER'!G$22+'5.2.1 Capacity Incentives_ER'!G$20,"-")</f>
        <v>0</v>
      </c>
      <c r="F23" s="328">
        <f>IFERROR('5.2.1 Capacity Incentives_ER'!H$22+'5.2.1 Capacity Incentives_ER'!H$20,"-")</f>
        <v>0.21000000000000002</v>
      </c>
      <c r="G23" s="328">
        <f>IFERROR('5.2.1 Capacity Incentives_ER'!I$22+'5.2.1 Capacity Incentives_ER'!I$20,"-")</f>
        <v>0.2</v>
      </c>
      <c r="H23" s="328">
        <f>IFERROR('5.2.1 Capacity Incentives_ER'!J$22+'5.2.1 Capacity Incentives_ER'!J$20,"-")</f>
        <v>0.2</v>
      </c>
      <c r="V23" s="78"/>
      <c r="W23" s="77" t="s">
        <v>414</v>
      </c>
      <c r="X23" s="328">
        <f>IFERROR('5.2.2 Capacity Incentives_TMZ'!F$18*(1+'5.2.2 Capacity Incentives_TMZ'!$E$8),"-")</f>
        <v>0</v>
      </c>
      <c r="Y23" s="328">
        <f>IFERROR('5.2.2 Capacity Incentives_TMZ'!G$18*(1+'5.2.2 Capacity Incentives_TMZ'!$E$8),"-")</f>
        <v>0</v>
      </c>
      <c r="Z23" s="328">
        <f>IFERROR('5.2.2 Capacity Incentives_TMZ'!H$18*(1+'5.2.2 Capacity Incentives_TMZ'!$E$8),"-")</f>
        <v>0</v>
      </c>
      <c r="AA23" s="328">
        <f>IFERROR('5.2.2 Capacity Incentives_TMZ'!I$18*(1+'5.2.2 Capacity Incentives_TMZ'!$E$8),"-")</f>
        <v>0</v>
      </c>
      <c r="AB23" s="328">
        <f>IFERROR('5.2.2 Capacity Incentives_TMZ'!J$18*(1+'5.2.2 Capacity Incentives_TMZ'!$E$8),"-")</f>
        <v>0</v>
      </c>
    </row>
    <row r="24" spans="1:34">
      <c r="A24"/>
      <c r="B24" s="312"/>
      <c r="C24" s="312"/>
      <c r="D24" s="312"/>
      <c r="E24" s="312"/>
      <c r="F24" s="312" t="str">
        <f t="shared" ref="F24:H24" si="6">IF(F22&gt;F20,"ERROR","")</f>
        <v/>
      </c>
      <c r="G24" s="312" t="str">
        <f t="shared" si="6"/>
        <v/>
      </c>
      <c r="H24" s="312" t="str">
        <f t="shared" si="6"/>
        <v/>
      </c>
      <c r="X24" s="312"/>
      <c r="Y24" s="312"/>
      <c r="Z24" s="312" t="str">
        <f t="shared" ref="Z24:AB24" si="7">IF(Z22&gt;Z20,"ERROR","")</f>
        <v/>
      </c>
      <c r="AA24" s="312" t="str">
        <f t="shared" si="7"/>
        <v/>
      </c>
      <c r="AB24" s="312" t="str">
        <f t="shared" si="7"/>
        <v/>
      </c>
    </row>
    <row r="25" spans="1:34">
      <c r="A25"/>
      <c r="B25"/>
      <c r="C25"/>
      <c r="D25"/>
      <c r="E25"/>
      <c r="F25"/>
      <c r="G25"/>
      <c r="H25"/>
      <c r="I25"/>
      <c r="J25"/>
      <c r="K25"/>
      <c r="L25"/>
      <c r="M25"/>
      <c r="N25"/>
      <c r="O25"/>
      <c r="P25"/>
      <c r="Q25"/>
      <c r="R25"/>
      <c r="S25"/>
    </row>
    <row r="26" spans="1:34">
      <c r="A26"/>
      <c r="B26"/>
      <c r="C26"/>
      <c r="D26"/>
      <c r="E26"/>
      <c r="F26"/>
      <c r="G26"/>
      <c r="H26"/>
      <c r="I26"/>
      <c r="J26"/>
      <c r="K26"/>
      <c r="L26"/>
      <c r="M26"/>
      <c r="N26"/>
      <c r="O26"/>
      <c r="P26"/>
      <c r="Q26"/>
      <c r="R26"/>
      <c r="S26"/>
    </row>
    <row r="27" spans="1:34">
      <c r="A27"/>
      <c r="B27"/>
      <c r="C27"/>
      <c r="D27"/>
      <c r="E27"/>
      <c r="F27"/>
      <c r="G27"/>
      <c r="H27"/>
      <c r="I27"/>
      <c r="J27"/>
      <c r="K27"/>
      <c r="L27"/>
      <c r="M27"/>
      <c r="N27"/>
      <c r="O27"/>
      <c r="P27"/>
      <c r="Q27"/>
      <c r="R27"/>
      <c r="S27"/>
    </row>
    <row r="28" spans="1:34">
      <c r="A28"/>
      <c r="B28"/>
      <c r="C28"/>
      <c r="D28"/>
      <c r="E28"/>
      <c r="F28"/>
      <c r="G28"/>
      <c r="H28"/>
      <c r="I28"/>
      <c r="J28"/>
      <c r="K28"/>
      <c r="L28"/>
      <c r="M28"/>
      <c r="N28"/>
      <c r="O28"/>
      <c r="P28"/>
      <c r="Q28"/>
      <c r="R28"/>
      <c r="S28"/>
    </row>
    <row r="29" spans="1:34" ht="15" customHeight="1">
      <c r="A29"/>
      <c r="B29"/>
      <c r="C29"/>
      <c r="D29"/>
      <c r="E29"/>
      <c r="F29"/>
      <c r="G29"/>
      <c r="H29"/>
      <c r="I29"/>
      <c r="J29"/>
      <c r="K29"/>
      <c r="L29"/>
      <c r="M29"/>
      <c r="N29"/>
      <c r="O29"/>
      <c r="P29"/>
      <c r="Q29"/>
      <c r="R29"/>
      <c r="S29"/>
    </row>
    <row r="30" spans="1:34" s="4" customFormat="1">
      <c r="A30"/>
      <c r="B30"/>
      <c r="C30"/>
      <c r="D30"/>
      <c r="E30"/>
      <c r="F30"/>
      <c r="G30"/>
      <c r="H30"/>
      <c r="I30"/>
      <c r="J30"/>
      <c r="K30"/>
      <c r="L30"/>
      <c r="M30"/>
      <c r="N30"/>
      <c r="O30"/>
      <c r="P30"/>
      <c r="Q30"/>
      <c r="R30"/>
      <c r="S30"/>
      <c r="V30" s="16"/>
      <c r="W30" s="16"/>
      <c r="X30" s="16"/>
      <c r="Y30" s="16"/>
      <c r="Z30" s="16"/>
      <c r="AA30" s="16"/>
      <c r="AB30" s="16"/>
    </row>
    <row r="31" spans="1:34">
      <c r="A31"/>
      <c r="B31"/>
      <c r="C31"/>
      <c r="D31"/>
      <c r="E31"/>
      <c r="F31"/>
      <c r="G31"/>
      <c r="H31"/>
      <c r="I31"/>
      <c r="J31"/>
      <c r="K31"/>
      <c r="L31"/>
      <c r="M31"/>
      <c r="N31"/>
      <c r="O31"/>
      <c r="P31"/>
      <c r="Q31"/>
      <c r="R31"/>
      <c r="S31"/>
    </row>
    <row r="32" spans="1:34">
      <c r="A32"/>
      <c r="B32"/>
      <c r="C32"/>
      <c r="D32"/>
      <c r="E32"/>
      <c r="F32"/>
      <c r="G32"/>
      <c r="H32"/>
      <c r="I32"/>
      <c r="J32"/>
      <c r="K32"/>
      <c r="L32"/>
      <c r="M32"/>
      <c r="N32"/>
      <c r="O32"/>
      <c r="P32"/>
      <c r="Q32"/>
      <c r="R32"/>
      <c r="S32"/>
    </row>
    <row r="33" spans="1:28">
      <c r="A33"/>
      <c r="B33"/>
      <c r="C33"/>
      <c r="D33"/>
      <c r="E33"/>
      <c r="F33"/>
      <c r="G33"/>
      <c r="H33"/>
      <c r="I33"/>
      <c r="J33"/>
      <c r="K33"/>
      <c r="L33"/>
      <c r="M33"/>
      <c r="N33"/>
      <c r="O33"/>
      <c r="P33"/>
      <c r="Q33"/>
      <c r="R33"/>
      <c r="S33"/>
    </row>
    <row r="34" spans="1:28">
      <c r="A34"/>
      <c r="B34"/>
      <c r="C34"/>
      <c r="D34"/>
      <c r="E34"/>
      <c r="F34"/>
      <c r="G34"/>
      <c r="H34"/>
      <c r="I34"/>
      <c r="J34"/>
      <c r="K34"/>
      <c r="L34"/>
      <c r="M34"/>
      <c r="N34"/>
      <c r="O34"/>
      <c r="P34"/>
      <c r="Q34"/>
      <c r="R34"/>
      <c r="S34"/>
      <c r="V34" s="4"/>
      <c r="W34" s="4"/>
      <c r="X34" s="4"/>
      <c r="Y34" s="4"/>
      <c r="Z34" s="4"/>
      <c r="AA34" s="4"/>
      <c r="AB34" s="4"/>
    </row>
    <row r="35" spans="1:28">
      <c r="A35"/>
      <c r="B35"/>
      <c r="C35"/>
      <c r="D35"/>
      <c r="E35"/>
      <c r="F35"/>
      <c r="G35"/>
      <c r="H35"/>
      <c r="I35"/>
      <c r="J35"/>
      <c r="K35"/>
      <c r="L35"/>
      <c r="M35"/>
      <c r="N35"/>
      <c r="O35"/>
      <c r="P35"/>
      <c r="Q35"/>
      <c r="R35"/>
      <c r="S35"/>
    </row>
    <row r="36" spans="1:28" ht="15" customHeight="1">
      <c r="A36"/>
      <c r="B36"/>
      <c r="C36"/>
      <c r="D36"/>
      <c r="E36"/>
      <c r="F36"/>
      <c r="G36"/>
      <c r="H36"/>
      <c r="I36"/>
      <c r="J36"/>
      <c r="K36"/>
      <c r="L36"/>
      <c r="M36"/>
      <c r="N36"/>
      <c r="O36"/>
      <c r="P36"/>
      <c r="Q36"/>
      <c r="R36"/>
      <c r="S36"/>
    </row>
    <row r="37" spans="1:28" s="4" customFormat="1">
      <c r="A37"/>
      <c r="B37"/>
      <c r="C37"/>
      <c r="D37"/>
      <c r="E37"/>
      <c r="F37"/>
      <c r="G37"/>
      <c r="H37"/>
      <c r="I37"/>
      <c r="J37"/>
      <c r="K37"/>
      <c r="L37"/>
      <c r="M37"/>
      <c r="N37"/>
      <c r="O37"/>
      <c r="P37"/>
      <c r="Q37"/>
      <c r="R37"/>
      <c r="S37"/>
      <c r="V37" s="16"/>
      <c r="W37" s="16"/>
      <c r="X37" s="16"/>
      <c r="Y37" s="16"/>
      <c r="Z37" s="16"/>
      <c r="AA37" s="16"/>
      <c r="AB37" s="16"/>
    </row>
    <row r="38" spans="1:28">
      <c r="A38"/>
      <c r="B38"/>
      <c r="C38"/>
      <c r="D38"/>
      <c r="E38"/>
      <c r="F38"/>
      <c r="G38"/>
      <c r="H38"/>
      <c r="I38"/>
      <c r="J38"/>
      <c r="K38"/>
      <c r="L38"/>
      <c r="M38"/>
      <c r="N38"/>
      <c r="O38"/>
      <c r="P38"/>
      <c r="Q38"/>
      <c r="R38"/>
      <c r="S38"/>
    </row>
    <row r="39" spans="1:28">
      <c r="A39"/>
      <c r="B39"/>
      <c r="C39"/>
      <c r="D39"/>
      <c r="E39"/>
      <c r="F39"/>
      <c r="G39"/>
      <c r="H39"/>
      <c r="I39"/>
      <c r="J39"/>
      <c r="K39"/>
      <c r="L39"/>
      <c r="M39"/>
      <c r="N39"/>
      <c r="O39"/>
      <c r="P39"/>
      <c r="Q39"/>
      <c r="R39"/>
      <c r="S39"/>
    </row>
    <row r="40" spans="1:28">
      <c r="A40"/>
      <c r="B40"/>
      <c r="C40"/>
      <c r="D40"/>
      <c r="E40"/>
      <c r="F40"/>
      <c r="G40"/>
      <c r="H40"/>
      <c r="I40"/>
      <c r="J40"/>
      <c r="K40"/>
      <c r="L40"/>
      <c r="M40"/>
      <c r="N40"/>
      <c r="O40"/>
      <c r="P40"/>
      <c r="Q40"/>
      <c r="R40"/>
      <c r="S40"/>
    </row>
    <row r="41" spans="1:28">
      <c r="A41"/>
      <c r="B41"/>
      <c r="C41"/>
      <c r="D41"/>
      <c r="E41"/>
      <c r="F41"/>
      <c r="G41"/>
      <c r="H41"/>
      <c r="I41"/>
      <c r="J41"/>
      <c r="K41"/>
      <c r="L41"/>
      <c r="M41"/>
      <c r="N41"/>
      <c r="O41"/>
      <c r="P41"/>
      <c r="Q41"/>
      <c r="R41"/>
      <c r="S41"/>
      <c r="V41" s="4"/>
      <c r="W41" s="4"/>
      <c r="X41" s="4"/>
      <c r="Y41" s="4"/>
      <c r="Z41" s="4"/>
      <c r="AA41" s="4"/>
      <c r="AB41" s="4"/>
    </row>
    <row r="42" spans="1:28">
      <c r="A42"/>
      <c r="B42"/>
      <c r="C42"/>
      <c r="D42"/>
      <c r="E42"/>
      <c r="F42"/>
      <c r="G42"/>
      <c r="H42"/>
      <c r="I42"/>
      <c r="J42"/>
      <c r="K42"/>
      <c r="L42"/>
      <c r="M42"/>
      <c r="N42"/>
      <c r="O42"/>
      <c r="P42"/>
      <c r="Q42"/>
      <c r="R42"/>
      <c r="S42"/>
    </row>
    <row r="43" spans="1:28" ht="15" customHeight="1">
      <c r="A43"/>
      <c r="B43"/>
      <c r="C43"/>
      <c r="D43"/>
      <c r="E43"/>
      <c r="F43"/>
      <c r="G43"/>
      <c r="H43"/>
      <c r="I43"/>
      <c r="J43"/>
      <c r="K43"/>
      <c r="L43"/>
      <c r="M43"/>
      <c r="N43"/>
      <c r="O43"/>
      <c r="P43"/>
      <c r="Q43"/>
      <c r="R43"/>
      <c r="S43"/>
    </row>
    <row r="44" spans="1:28" s="4" customFormat="1">
      <c r="A44"/>
      <c r="B44"/>
      <c r="C44"/>
      <c r="D44"/>
      <c r="E44"/>
      <c r="F44"/>
      <c r="G44"/>
      <c r="H44"/>
      <c r="I44"/>
      <c r="J44"/>
      <c r="K44"/>
      <c r="L44"/>
      <c r="M44"/>
      <c r="N44"/>
      <c r="O44"/>
      <c r="P44"/>
      <c r="Q44"/>
      <c r="R44"/>
      <c r="S44"/>
      <c r="V44" s="16"/>
      <c r="W44" s="16"/>
      <c r="X44" s="16"/>
      <c r="Y44" s="16"/>
      <c r="Z44" s="16"/>
      <c r="AA44" s="16"/>
      <c r="AB44" s="16"/>
    </row>
    <row r="45" spans="1:28">
      <c r="A45"/>
      <c r="B45"/>
      <c r="C45"/>
      <c r="D45"/>
      <c r="E45"/>
      <c r="F45"/>
      <c r="G45"/>
      <c r="H45"/>
      <c r="I45"/>
      <c r="J45"/>
      <c r="K45"/>
      <c r="L45"/>
      <c r="M45"/>
      <c r="N45"/>
      <c r="O45"/>
      <c r="P45"/>
      <c r="Q45"/>
      <c r="R45"/>
      <c r="S45"/>
    </row>
    <row r="46" spans="1:28">
      <c r="A46"/>
    </row>
    <row r="47" spans="1:28">
      <c r="A47"/>
      <c r="B47" s="4"/>
      <c r="C47" s="4"/>
      <c r="D47" s="4"/>
      <c r="E47" s="4"/>
      <c r="F47" s="4"/>
      <c r="G47" s="4"/>
      <c r="H47" s="4"/>
    </row>
    <row r="48" spans="1:28">
      <c r="A48"/>
      <c r="V48" s="4"/>
      <c r="W48" s="4"/>
      <c r="X48" s="4"/>
      <c r="Y48" s="4"/>
      <c r="Z48" s="4"/>
      <c r="AA48" s="4"/>
      <c r="AB48" s="4"/>
    </row>
    <row r="49" spans="1:28">
      <c r="A49"/>
    </row>
    <row r="50" spans="1:28" ht="15" customHeight="1">
      <c r="A50"/>
    </row>
    <row r="51" spans="1:28" s="4" customFormat="1">
      <c r="A51"/>
      <c r="B51" s="16"/>
      <c r="C51" s="16"/>
      <c r="D51" s="16"/>
      <c r="E51" s="16"/>
      <c r="F51" s="16"/>
      <c r="G51" s="16"/>
      <c r="H51" s="16"/>
      <c r="V51" s="16"/>
      <c r="W51" s="16"/>
      <c r="X51" s="16"/>
      <c r="Y51" s="16"/>
      <c r="Z51" s="16"/>
      <c r="AA51" s="16"/>
      <c r="AB51" s="16"/>
    </row>
    <row r="52" spans="1:28">
      <c r="A52"/>
    </row>
    <row r="53" spans="1:28">
      <c r="A53"/>
    </row>
    <row r="54" spans="1:28">
      <c r="A54"/>
      <c r="B54" s="4"/>
      <c r="C54" s="4"/>
      <c r="D54" s="4"/>
      <c r="E54" s="4"/>
      <c r="F54" s="4"/>
      <c r="G54" s="4"/>
      <c r="H54" s="4"/>
    </row>
    <row r="55" spans="1:28">
      <c r="A55"/>
      <c r="V55" s="4"/>
      <c r="W55" s="4"/>
      <c r="X55" s="4"/>
      <c r="Y55" s="4"/>
      <c r="Z55" s="4"/>
      <c r="AA55" s="4"/>
      <c r="AB55" s="4"/>
    </row>
    <row r="56" spans="1:28">
      <c r="A56"/>
    </row>
    <row r="57" spans="1:28" ht="15" customHeight="1">
      <c r="A57"/>
    </row>
    <row r="58" spans="1:28" s="4" customFormat="1">
      <c r="A58"/>
      <c r="B58" s="16"/>
      <c r="C58" s="16"/>
      <c r="D58" s="16"/>
      <c r="E58" s="16"/>
      <c r="F58" s="16"/>
      <c r="G58" s="16"/>
      <c r="H58" s="16"/>
      <c r="V58" s="16"/>
      <c r="W58" s="16"/>
      <c r="X58" s="16"/>
      <c r="Y58" s="16"/>
      <c r="Z58" s="16"/>
      <c r="AA58" s="16"/>
      <c r="AB58" s="16"/>
    </row>
    <row r="59" spans="1:28">
      <c r="A59"/>
    </row>
    <row r="60" spans="1:28">
      <c r="A60"/>
    </row>
    <row r="61" spans="1:28">
      <c r="A61"/>
      <c r="B61" s="4"/>
      <c r="C61" s="4"/>
      <c r="D61" s="4"/>
      <c r="E61" s="4"/>
      <c r="F61" s="4"/>
      <c r="G61" s="4"/>
      <c r="H61" s="4"/>
    </row>
    <row r="62" spans="1:28">
      <c r="A62"/>
      <c r="V62" s="4"/>
      <c r="W62" s="4"/>
      <c r="X62" s="4"/>
      <c r="Y62" s="4"/>
      <c r="Z62" s="4"/>
      <c r="AA62" s="4"/>
      <c r="AB62" s="4"/>
    </row>
    <row r="63" spans="1:28">
      <c r="A63"/>
    </row>
    <row r="64" spans="1:28" ht="15" customHeight="1">
      <c r="A64"/>
    </row>
    <row r="65" spans="1:28" s="4" customFormat="1">
      <c r="A65"/>
      <c r="B65" s="16"/>
      <c r="C65" s="16"/>
      <c r="D65" s="16"/>
      <c r="E65" s="16"/>
      <c r="F65" s="16"/>
      <c r="G65" s="16"/>
      <c r="H65" s="16"/>
      <c r="V65" s="16"/>
      <c r="W65" s="16"/>
      <c r="X65" s="16"/>
      <c r="Y65" s="16"/>
      <c r="Z65" s="16"/>
      <c r="AA65" s="16"/>
      <c r="AB65" s="16"/>
    </row>
    <row r="66" spans="1:28">
      <c r="A66"/>
    </row>
    <row r="67" spans="1:28">
      <c r="A67"/>
    </row>
    <row r="68" spans="1:28">
      <c r="A68"/>
      <c r="B68" s="4"/>
      <c r="C68" s="4"/>
      <c r="D68" s="4"/>
      <c r="E68" s="4"/>
      <c r="F68" s="4"/>
      <c r="G68" s="4"/>
      <c r="H68" s="4"/>
    </row>
    <row r="69" spans="1:28">
      <c r="A69"/>
      <c r="V69" s="4"/>
      <c r="W69" s="4"/>
      <c r="X69" s="4"/>
      <c r="Y69" s="4"/>
      <c r="Z69" s="4"/>
      <c r="AA69" s="4"/>
      <c r="AB69" s="4"/>
    </row>
    <row r="70" spans="1:28">
      <c r="A70"/>
    </row>
    <row r="71" spans="1:28" ht="15" customHeight="1">
      <c r="A71"/>
    </row>
    <row r="72" spans="1:28">
      <c r="A72"/>
    </row>
    <row r="73" spans="1:28">
      <c r="A73"/>
    </row>
    <row r="74" spans="1:28">
      <c r="A74"/>
    </row>
    <row r="75" spans="1:28">
      <c r="A75"/>
      <c r="I75" s="47"/>
      <c r="J75" s="47"/>
      <c r="K75" s="47"/>
    </row>
    <row r="76" spans="1:28">
      <c r="A76"/>
    </row>
    <row r="77" spans="1:28">
      <c r="A77"/>
    </row>
    <row r="78" spans="1:28">
      <c r="A78"/>
      <c r="B78"/>
      <c r="C78"/>
      <c r="D78"/>
      <c r="E78" s="47"/>
    </row>
    <row r="79" spans="1:28">
      <c r="A79"/>
      <c r="B79"/>
      <c r="C79"/>
      <c r="D79"/>
    </row>
    <row r="80" spans="1:28">
      <c r="A80"/>
      <c r="B80"/>
      <c r="C80"/>
      <c r="D80"/>
    </row>
    <row r="81" spans="1:4">
      <c r="A81"/>
      <c r="B81"/>
      <c r="C81"/>
      <c r="D81"/>
    </row>
    <row r="82" spans="1:4">
      <c r="A82"/>
      <c r="B82"/>
      <c r="C82"/>
      <c r="D82"/>
    </row>
    <row r="83" spans="1:4">
      <c r="A83"/>
      <c r="B83"/>
      <c r="C83"/>
      <c r="D83"/>
    </row>
    <row r="84" spans="1:4">
      <c r="A84"/>
      <c r="B84"/>
      <c r="C84"/>
      <c r="D84"/>
    </row>
    <row r="85" spans="1:4">
      <c r="A85"/>
    </row>
    <row r="86" spans="1:4">
      <c r="A86"/>
    </row>
    <row r="87" spans="1:4">
      <c r="A87"/>
    </row>
    <row r="88" spans="1:4">
      <c r="A88"/>
    </row>
    <row r="89" spans="1:4">
      <c r="A89"/>
    </row>
    <row r="90" spans="1:4">
      <c r="A90"/>
    </row>
    <row r="91" spans="1:4">
      <c r="A91"/>
    </row>
    <row r="92" spans="1:4">
      <c r="A92"/>
    </row>
  </sheetData>
  <sheetProtection formatCells="0" formatColumns="0" formatRows="0" insertHyperlinks="0"/>
  <pageMargins left="0.7" right="0.7" top="0.75" bottom="0.75" header="0.3" footer="0.3"/>
  <pageSetup paperSize="9" scale="23" fitToHeight="0" orientation="portrait" r:id="rId1"/>
  <headerFooter>
    <oddFooter>&amp;C&amp;P</oddFooter>
  </headerFooter>
  <picture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2" tint="-0.249977111117893"/>
    <pageSetUpPr fitToPage="1"/>
  </sheetPr>
  <dimension ref="A2:G126"/>
  <sheetViews>
    <sheetView showGridLines="0" topLeftCell="A123" zoomScaleNormal="100" workbookViewId="0">
      <selection activeCell="C124" sqref="C124:E124"/>
    </sheetView>
  </sheetViews>
  <sheetFormatPr defaultColWidth="9.140625" defaultRowHeight="15"/>
  <cols>
    <col min="1" max="1" width="9.140625" style="4"/>
    <col min="2" max="2" width="33.7109375" style="4" customWidth="1"/>
    <col min="3" max="3" width="20.7109375" style="4" customWidth="1"/>
    <col min="4" max="4" width="13.7109375" style="4" customWidth="1"/>
    <col min="5" max="5" width="56.5703125" style="4" customWidth="1"/>
    <col min="6" max="6" width="4" style="4" customWidth="1"/>
    <col min="7" max="16384" width="9.140625" style="4"/>
  </cols>
  <sheetData>
    <row r="2" spans="1:6" ht="18.75" customHeight="1">
      <c r="A2" s="106"/>
      <c r="B2" s="636" t="s">
        <v>224</v>
      </c>
      <c r="C2" s="636"/>
    </row>
    <row r="3" spans="1:6">
      <c r="B3" s="13"/>
      <c r="C3" s="13"/>
    </row>
    <row r="4" spans="1:6" ht="18" customHeight="1" thickBot="1">
      <c r="B4" s="32" t="s">
        <v>374</v>
      </c>
      <c r="C4" s="32"/>
      <c r="D4" s="185"/>
      <c r="E4" s="185"/>
    </row>
    <row r="5" spans="1:6">
      <c r="B5" s="186"/>
      <c r="C5" s="186"/>
      <c r="D5" s="143"/>
      <c r="E5" s="143"/>
    </row>
    <row r="6" spans="1:6" ht="30" customHeight="1">
      <c r="B6" s="673" t="s">
        <v>363</v>
      </c>
      <c r="C6" s="674"/>
      <c r="D6" s="674"/>
      <c r="E6" s="674"/>
      <c r="F6" s="144"/>
    </row>
    <row r="7" spans="1:6" ht="91.9" customHeight="1">
      <c r="B7" s="740" t="s">
        <v>1826</v>
      </c>
      <c r="C7" s="741"/>
      <c r="D7" s="741"/>
      <c r="E7" s="741"/>
      <c r="F7" s="144"/>
    </row>
    <row r="8" spans="1:6" ht="24.95" customHeight="1">
      <c r="B8" s="187"/>
      <c r="C8" s="187"/>
      <c r="D8" s="132"/>
      <c r="E8" s="132"/>
    </row>
    <row r="9" spans="1:6" ht="18" thickBot="1">
      <c r="B9" s="32" t="s">
        <v>373</v>
      </c>
      <c r="C9" s="32"/>
      <c r="D9" s="32"/>
      <c r="E9" s="185"/>
    </row>
    <row r="10" spans="1:6" ht="17.25">
      <c r="B10" s="188"/>
      <c r="C10" s="188"/>
      <c r="D10" s="143"/>
      <c r="E10" s="143"/>
    </row>
    <row r="11" spans="1:6">
      <c r="B11" s="15" t="s">
        <v>365</v>
      </c>
      <c r="C11" s="15"/>
      <c r="D11" s="15" t="s">
        <v>1166</v>
      </c>
      <c r="E11" s="15" t="s">
        <v>1168</v>
      </c>
    </row>
    <row r="12" spans="1:6" ht="66" customHeight="1">
      <c r="B12" s="654" t="s">
        <v>364</v>
      </c>
      <c r="C12" s="655"/>
      <c r="D12" s="189" t="s">
        <v>1786</v>
      </c>
      <c r="E12" s="537" t="s">
        <v>1837</v>
      </c>
      <c r="F12" s="144"/>
    </row>
    <row r="13" spans="1:6" ht="66.75" customHeight="1">
      <c r="B13" s="133" t="s">
        <v>1412</v>
      </c>
      <c r="C13" s="338"/>
      <c r="D13" s="190" t="s">
        <v>339</v>
      </c>
      <c r="E13" s="539" t="s">
        <v>1827</v>
      </c>
      <c r="F13" s="144"/>
    </row>
    <row r="14" spans="1:6" ht="96" customHeight="1">
      <c r="B14" s="654" t="s">
        <v>366</v>
      </c>
      <c r="C14" s="655"/>
      <c r="D14" s="190" t="s">
        <v>339</v>
      </c>
      <c r="E14" s="540" t="s">
        <v>1840</v>
      </c>
      <c r="F14" s="144"/>
    </row>
    <row r="15" spans="1:6" ht="49.5" customHeight="1">
      <c r="B15" s="727" t="s">
        <v>367</v>
      </c>
      <c r="C15" s="728"/>
      <c r="D15" s="189" t="s">
        <v>1786</v>
      </c>
      <c r="E15" s="538" t="s">
        <v>1828</v>
      </c>
      <c r="F15" s="144"/>
    </row>
    <row r="16" spans="1:6" ht="99.75" customHeight="1">
      <c r="B16" s="727" t="s">
        <v>368</v>
      </c>
      <c r="C16" s="728"/>
      <c r="D16" s="190" t="s">
        <v>339</v>
      </c>
      <c r="E16" s="538" t="s">
        <v>1845</v>
      </c>
      <c r="F16" s="144"/>
    </row>
    <row r="17" spans="2:7" ht="30" customHeight="1">
      <c r="B17" s="654" t="s">
        <v>369</v>
      </c>
      <c r="C17" s="655"/>
      <c r="D17" s="189" t="s">
        <v>1786</v>
      </c>
      <c r="E17" s="539" t="s">
        <v>1807</v>
      </c>
      <c r="F17" s="144"/>
    </row>
    <row r="18" spans="2:7" ht="60.75" customHeight="1">
      <c r="B18" s="654" t="s">
        <v>370</v>
      </c>
      <c r="C18" s="655"/>
      <c r="D18" s="190" t="s">
        <v>339</v>
      </c>
      <c r="E18" s="537" t="s">
        <v>1838</v>
      </c>
      <c r="F18" s="144"/>
    </row>
    <row r="19" spans="2:7" ht="30" customHeight="1">
      <c r="B19" s="654" t="s">
        <v>1167</v>
      </c>
      <c r="C19" s="655"/>
      <c r="D19" s="189" t="s">
        <v>1786</v>
      </c>
      <c r="E19" s="539" t="s">
        <v>892</v>
      </c>
      <c r="F19" s="144"/>
    </row>
    <row r="20" spans="2:7" ht="30" customHeight="1">
      <c r="B20" s="654" t="s">
        <v>371</v>
      </c>
      <c r="C20" s="655"/>
      <c r="D20" s="189" t="s">
        <v>1786</v>
      </c>
      <c r="E20" s="539" t="s">
        <v>1829</v>
      </c>
      <c r="F20" s="144"/>
    </row>
    <row r="21" spans="2:7" ht="188.25" customHeight="1">
      <c r="B21" s="654" t="s">
        <v>1413</v>
      </c>
      <c r="C21" s="654"/>
      <c r="D21" s="190" t="s">
        <v>339</v>
      </c>
      <c r="E21" s="537" t="s">
        <v>1836</v>
      </c>
      <c r="F21" s="144"/>
    </row>
    <row r="22" spans="2:7" ht="24.95" customHeight="1">
      <c r="B22" s="187"/>
      <c r="C22" s="187"/>
      <c r="D22" s="132"/>
      <c r="E22" s="132"/>
    </row>
    <row r="23" spans="2:7" ht="18" customHeight="1" thickBot="1">
      <c r="B23" s="32" t="s">
        <v>372</v>
      </c>
      <c r="C23" s="32"/>
      <c r="D23" s="185"/>
      <c r="E23" s="185"/>
    </row>
    <row r="24" spans="2:7">
      <c r="B24" s="186"/>
      <c r="C24" s="186"/>
      <c r="D24" s="143"/>
      <c r="E24" s="143"/>
      <c r="G24" s="3"/>
    </row>
    <row r="25" spans="2:7" ht="15" customHeight="1">
      <c r="B25" s="715" t="s">
        <v>1778</v>
      </c>
      <c r="C25" s="716"/>
      <c r="D25" s="716"/>
      <c r="E25" s="717"/>
      <c r="F25" s="144"/>
    </row>
    <row r="26" spans="2:7" ht="15" customHeight="1">
      <c r="B26" s="133" t="s">
        <v>271</v>
      </c>
      <c r="C26" s="718" t="s">
        <v>1779</v>
      </c>
      <c r="D26" s="719"/>
      <c r="E26" s="720"/>
      <c r="F26" s="144"/>
    </row>
    <row r="27" spans="2:7" ht="30" customHeight="1">
      <c r="B27" s="133" t="s">
        <v>1169</v>
      </c>
      <c r="C27" s="729">
        <v>44375</v>
      </c>
      <c r="D27" s="730"/>
      <c r="E27" s="731"/>
      <c r="F27" s="144"/>
    </row>
    <row r="28" spans="2:7" ht="30" customHeight="1">
      <c r="B28" s="133" t="s">
        <v>276</v>
      </c>
      <c r="C28" s="732" t="s">
        <v>1880</v>
      </c>
      <c r="D28" s="733"/>
      <c r="E28" s="734"/>
      <c r="F28" s="144"/>
    </row>
    <row r="29" spans="2:7" ht="44.25" customHeight="1">
      <c r="B29" s="133" t="s">
        <v>230</v>
      </c>
      <c r="C29" s="735" t="s">
        <v>1816</v>
      </c>
      <c r="D29" s="736"/>
      <c r="E29" s="737"/>
      <c r="F29" s="144"/>
    </row>
    <row r="30" spans="2:7" ht="30" customHeight="1">
      <c r="B30" s="133" t="s">
        <v>231</v>
      </c>
      <c r="C30" s="738" t="s">
        <v>1830</v>
      </c>
      <c r="D30" s="739"/>
      <c r="E30" s="739"/>
      <c r="F30" s="144"/>
    </row>
    <row r="31" spans="2:7" ht="80.25" customHeight="1">
      <c r="B31" s="133" t="s">
        <v>277</v>
      </c>
      <c r="C31" s="738" t="s">
        <v>1811</v>
      </c>
      <c r="D31" s="739"/>
      <c r="E31" s="739"/>
      <c r="F31" s="144"/>
    </row>
    <row r="32" spans="2:7" ht="8.25" customHeight="1">
      <c r="B32" s="132"/>
      <c r="C32" s="132"/>
      <c r="D32" s="132"/>
      <c r="E32" s="132"/>
    </row>
    <row r="33" spans="2:6" ht="6.75" customHeight="1"/>
    <row r="34" spans="2:6">
      <c r="B34" s="673" t="s">
        <v>23</v>
      </c>
      <c r="C34" s="674"/>
      <c r="D34" s="674"/>
      <c r="E34" s="674"/>
      <c r="F34" s="144"/>
    </row>
    <row r="35" spans="2:6" ht="30" customHeight="1">
      <c r="B35" s="725"/>
      <c r="C35" s="726"/>
      <c r="D35" s="726"/>
      <c r="E35" s="726"/>
      <c r="F35" s="144"/>
    </row>
    <row r="36" spans="2:6" ht="15" customHeight="1">
      <c r="B36" s="191"/>
      <c r="C36" s="191"/>
      <c r="D36" s="191"/>
      <c r="E36" s="191"/>
    </row>
    <row r="38" spans="2:6" ht="15" customHeight="1">
      <c r="B38" s="699" t="s">
        <v>1780</v>
      </c>
      <c r="C38" s="700"/>
      <c r="D38" s="700"/>
      <c r="E38" s="700"/>
      <c r="F38" s="144"/>
    </row>
    <row r="39" spans="2:6">
      <c r="B39" s="133" t="s">
        <v>271</v>
      </c>
      <c r="C39" s="718" t="s">
        <v>1779</v>
      </c>
      <c r="D39" s="719"/>
      <c r="E39" s="720"/>
      <c r="F39" s="144"/>
    </row>
    <row r="40" spans="2:6" ht="30" customHeight="1">
      <c r="B40" s="133" t="s">
        <v>1169</v>
      </c>
      <c r="C40" s="742" t="s">
        <v>1810</v>
      </c>
      <c r="D40" s="743"/>
      <c r="E40" s="743"/>
      <c r="F40" s="144"/>
    </row>
    <row r="41" spans="2:6" ht="30" customHeight="1">
      <c r="B41" s="133" t="s">
        <v>276</v>
      </c>
      <c r="C41" s="744" t="s">
        <v>1809</v>
      </c>
      <c r="D41" s="745"/>
      <c r="E41" s="745"/>
      <c r="F41" s="144"/>
    </row>
    <row r="42" spans="2:6" ht="49.5" customHeight="1">
      <c r="B42" s="133" t="s">
        <v>230</v>
      </c>
      <c r="C42" s="738" t="s">
        <v>1841</v>
      </c>
      <c r="D42" s="739"/>
      <c r="E42" s="739"/>
      <c r="F42" s="144"/>
    </row>
    <row r="43" spans="2:6" ht="30" customHeight="1">
      <c r="B43" s="133" t="s">
        <v>231</v>
      </c>
      <c r="C43" s="738" t="s">
        <v>1808</v>
      </c>
      <c r="D43" s="739"/>
      <c r="E43" s="739"/>
      <c r="F43" s="144"/>
    </row>
    <row r="44" spans="2:6" ht="85.5" customHeight="1">
      <c r="B44" s="133" t="s">
        <v>277</v>
      </c>
      <c r="C44" s="746" t="s">
        <v>1831</v>
      </c>
      <c r="D44" s="747"/>
      <c r="E44" s="747"/>
      <c r="F44" s="144"/>
    </row>
    <row r="45" spans="2:6" ht="8.25" customHeight="1">
      <c r="B45" s="132"/>
      <c r="C45" s="132"/>
      <c r="D45" s="132"/>
      <c r="E45" s="132"/>
    </row>
    <row r="46" spans="2:6" ht="6.75" customHeight="1"/>
    <row r="47" spans="2:6">
      <c r="B47" s="673" t="s">
        <v>23</v>
      </c>
      <c r="C47" s="674"/>
      <c r="D47" s="674"/>
      <c r="E47" s="674"/>
      <c r="F47" s="144"/>
    </row>
    <row r="48" spans="2:6" ht="30" customHeight="1">
      <c r="B48" s="725"/>
      <c r="C48" s="726"/>
      <c r="D48" s="726"/>
      <c r="E48" s="726"/>
      <c r="F48" s="144"/>
    </row>
    <row r="49" spans="2:6">
      <c r="B49" s="132"/>
      <c r="C49" s="132"/>
      <c r="D49" s="132"/>
      <c r="E49" s="132"/>
    </row>
    <row r="51" spans="2:6" ht="15" customHeight="1">
      <c r="B51" s="699" t="s">
        <v>1781</v>
      </c>
      <c r="C51" s="700"/>
      <c r="D51" s="700"/>
      <c r="E51" s="700"/>
      <c r="F51" s="144"/>
    </row>
    <row r="52" spans="2:6" ht="34.15" customHeight="1">
      <c r="B52" s="133" t="s">
        <v>271</v>
      </c>
      <c r="C52" s="701" t="s">
        <v>1832</v>
      </c>
      <c r="D52" s="702"/>
      <c r="E52" s="702"/>
      <c r="F52" s="144"/>
    </row>
    <row r="53" spans="2:6" ht="30" customHeight="1">
      <c r="B53" s="133" t="s">
        <v>1169</v>
      </c>
      <c r="C53" s="748">
        <v>44399</v>
      </c>
      <c r="D53" s="749"/>
      <c r="E53" s="749"/>
      <c r="F53" s="144"/>
    </row>
    <row r="54" spans="2:6" ht="48.75" customHeight="1">
      <c r="B54" s="133" t="s">
        <v>276</v>
      </c>
      <c r="C54" s="742" t="s">
        <v>1842</v>
      </c>
      <c r="D54" s="743"/>
      <c r="E54" s="743"/>
      <c r="F54" s="144"/>
    </row>
    <row r="55" spans="2:6" ht="33.75" customHeight="1">
      <c r="B55" s="133" t="s">
        <v>230</v>
      </c>
      <c r="C55" s="742" t="s">
        <v>1843</v>
      </c>
      <c r="D55" s="743"/>
      <c r="E55" s="743"/>
      <c r="F55" s="144"/>
    </row>
    <row r="56" spans="2:6" ht="30" customHeight="1">
      <c r="B56" s="133" t="s">
        <v>231</v>
      </c>
      <c r="C56" s="742" t="s">
        <v>1833</v>
      </c>
      <c r="D56" s="743"/>
      <c r="E56" s="743"/>
      <c r="F56" s="144"/>
    </row>
    <row r="57" spans="2:6" ht="30" customHeight="1">
      <c r="B57" s="133" t="s">
        <v>277</v>
      </c>
      <c r="C57" s="742" t="s">
        <v>1812</v>
      </c>
      <c r="D57" s="743"/>
      <c r="E57" s="743"/>
      <c r="F57" s="144"/>
    </row>
    <row r="58" spans="2:6" ht="8.25" customHeight="1">
      <c r="B58" s="132"/>
      <c r="C58" s="132"/>
      <c r="D58" s="132"/>
      <c r="E58" s="132"/>
    </row>
    <row r="59" spans="2:6" ht="6.75" customHeight="1"/>
    <row r="60" spans="2:6">
      <c r="B60" s="673" t="s">
        <v>23</v>
      </c>
      <c r="C60" s="674"/>
      <c r="D60" s="674"/>
      <c r="E60" s="674"/>
      <c r="F60" s="144"/>
    </row>
    <row r="61" spans="2:6" ht="30" customHeight="1">
      <c r="B61" s="725"/>
      <c r="C61" s="726"/>
      <c r="D61" s="726"/>
      <c r="E61" s="726"/>
      <c r="F61" s="144"/>
    </row>
    <row r="62" spans="2:6" ht="15" customHeight="1">
      <c r="B62" s="191"/>
      <c r="C62" s="191"/>
      <c r="D62" s="191"/>
      <c r="E62" s="191"/>
    </row>
    <row r="64" spans="2:6" ht="15" customHeight="1">
      <c r="B64" s="707" t="s">
        <v>1782</v>
      </c>
      <c r="C64" s="708"/>
      <c r="D64" s="708"/>
      <c r="E64" s="708"/>
      <c r="F64" s="144"/>
    </row>
    <row r="65" spans="2:6" ht="25.15" customHeight="1">
      <c r="B65" s="133" t="s">
        <v>271</v>
      </c>
      <c r="C65" s="709" t="s">
        <v>1783</v>
      </c>
      <c r="D65" s="710"/>
      <c r="E65" s="710"/>
      <c r="F65" s="144"/>
    </row>
    <row r="66" spans="2:6" ht="30" customHeight="1">
      <c r="B66" s="133" t="s">
        <v>1169</v>
      </c>
      <c r="C66" s="750">
        <v>44390</v>
      </c>
      <c r="D66" s="751"/>
      <c r="E66" s="751"/>
      <c r="F66" s="144"/>
    </row>
    <row r="67" spans="2:6" ht="51" customHeight="1">
      <c r="B67" s="133" t="s">
        <v>276</v>
      </c>
      <c r="C67" s="742" t="s">
        <v>1842</v>
      </c>
      <c r="D67" s="743"/>
      <c r="E67" s="743"/>
      <c r="F67" s="144"/>
    </row>
    <row r="68" spans="2:6" ht="30" customHeight="1">
      <c r="B68" s="133" t="s">
        <v>230</v>
      </c>
      <c r="C68" s="742" t="s">
        <v>892</v>
      </c>
      <c r="D68" s="743"/>
      <c r="E68" s="743"/>
      <c r="F68" s="144"/>
    </row>
    <row r="69" spans="2:6" ht="36" customHeight="1">
      <c r="B69" s="133" t="s">
        <v>231</v>
      </c>
      <c r="C69" s="742" t="s">
        <v>1813</v>
      </c>
      <c r="D69" s="743"/>
      <c r="E69" s="743"/>
      <c r="F69" s="144"/>
    </row>
    <row r="70" spans="2:6" ht="39" customHeight="1">
      <c r="B70" s="133" t="s">
        <v>277</v>
      </c>
      <c r="C70" s="742" t="s">
        <v>1817</v>
      </c>
      <c r="D70" s="743"/>
      <c r="E70" s="743"/>
      <c r="F70" s="144"/>
    </row>
    <row r="71" spans="2:6" ht="8.25" customHeight="1">
      <c r="B71" s="132"/>
      <c r="C71" s="132"/>
      <c r="D71" s="132"/>
      <c r="E71" s="132"/>
    </row>
    <row r="72" spans="2:6" ht="6.75" customHeight="1"/>
    <row r="73" spans="2:6">
      <c r="B73" s="673" t="s">
        <v>23</v>
      </c>
      <c r="C73" s="674"/>
      <c r="D73" s="674"/>
      <c r="E73" s="674"/>
      <c r="F73" s="144"/>
    </row>
    <row r="74" spans="2:6" ht="30" customHeight="1">
      <c r="B74" s="725"/>
      <c r="C74" s="726"/>
      <c r="D74" s="726"/>
      <c r="E74" s="726"/>
      <c r="F74" s="144"/>
    </row>
    <row r="75" spans="2:6">
      <c r="B75" s="132"/>
      <c r="C75" s="132"/>
      <c r="D75" s="132"/>
      <c r="E75" s="132"/>
    </row>
    <row r="77" spans="2:6" ht="15" customHeight="1">
      <c r="B77" s="699" t="s">
        <v>1785</v>
      </c>
      <c r="C77" s="700"/>
      <c r="D77" s="700"/>
      <c r="E77" s="700"/>
      <c r="F77" s="144"/>
    </row>
    <row r="78" spans="2:6" ht="33.75" customHeight="1">
      <c r="B78" s="133" t="s">
        <v>271</v>
      </c>
      <c r="C78" s="752" t="s">
        <v>1784</v>
      </c>
      <c r="D78" s="753"/>
      <c r="E78" s="753"/>
      <c r="F78" s="144"/>
    </row>
    <row r="79" spans="2:6" ht="30" customHeight="1">
      <c r="B79" s="133" t="s">
        <v>1169</v>
      </c>
      <c r="C79" s="701" t="s">
        <v>1814</v>
      </c>
      <c r="D79" s="702"/>
      <c r="E79" s="702"/>
      <c r="F79" s="144"/>
    </row>
    <row r="80" spans="2:6" ht="48" customHeight="1">
      <c r="B80" s="133" t="s">
        <v>276</v>
      </c>
      <c r="C80" s="742" t="s">
        <v>1842</v>
      </c>
      <c r="D80" s="743"/>
      <c r="E80" s="743"/>
      <c r="F80" s="144"/>
    </row>
    <row r="81" spans="2:6" ht="30" customHeight="1">
      <c r="B81" s="133" t="s">
        <v>230</v>
      </c>
      <c r="C81" s="742" t="s">
        <v>1815</v>
      </c>
      <c r="D81" s="743"/>
      <c r="E81" s="743"/>
      <c r="F81" s="144"/>
    </row>
    <row r="82" spans="2:6" ht="30" customHeight="1">
      <c r="B82" s="133" t="s">
        <v>231</v>
      </c>
      <c r="C82" s="742" t="s">
        <v>1808</v>
      </c>
      <c r="D82" s="743"/>
      <c r="E82" s="743"/>
      <c r="F82" s="144"/>
    </row>
    <row r="83" spans="2:6" ht="48" customHeight="1">
      <c r="B83" s="133" t="s">
        <v>277</v>
      </c>
      <c r="C83" s="742" t="s">
        <v>1844</v>
      </c>
      <c r="D83" s="743"/>
      <c r="E83" s="743"/>
      <c r="F83" s="144"/>
    </row>
    <row r="84" spans="2:6" ht="8.25" customHeight="1">
      <c r="B84" s="132"/>
      <c r="C84" s="132"/>
      <c r="D84" s="132"/>
      <c r="E84" s="132"/>
    </row>
    <row r="85" spans="2:6" ht="6.75" customHeight="1"/>
    <row r="86" spans="2:6">
      <c r="B86" s="673" t="s">
        <v>23</v>
      </c>
      <c r="C86" s="674"/>
      <c r="D86" s="674"/>
      <c r="E86" s="674"/>
      <c r="F86" s="144"/>
    </row>
    <row r="87" spans="2:6" ht="39.75" customHeight="1">
      <c r="B87" s="725"/>
      <c r="C87" s="726"/>
      <c r="D87" s="726"/>
      <c r="E87" s="726"/>
      <c r="F87" s="144"/>
    </row>
    <row r="88" spans="2:6" ht="0.75" customHeight="1">
      <c r="B88" s="132"/>
      <c r="C88" s="132"/>
      <c r="D88" s="132"/>
      <c r="E88" s="132"/>
    </row>
    <row r="90" spans="2:6" ht="15" hidden="1" customHeight="1">
      <c r="B90" s="754" t="s">
        <v>375</v>
      </c>
      <c r="C90" s="755"/>
      <c r="D90" s="755"/>
      <c r="E90" s="755"/>
      <c r="F90" s="144"/>
    </row>
    <row r="91" spans="2:6" ht="25.15" hidden="1" customHeight="1">
      <c r="B91" s="133" t="s">
        <v>271</v>
      </c>
      <c r="C91" s="756"/>
      <c r="D91" s="757"/>
      <c r="E91" s="757"/>
      <c r="F91" s="144"/>
    </row>
    <row r="92" spans="2:6" ht="30" hidden="1" customHeight="1">
      <c r="B92" s="133" t="s">
        <v>1169</v>
      </c>
      <c r="C92" s="756"/>
      <c r="D92" s="757"/>
      <c r="E92" s="757"/>
      <c r="F92" s="144"/>
    </row>
    <row r="93" spans="2:6" ht="30" hidden="1" customHeight="1">
      <c r="B93" s="133" t="s">
        <v>276</v>
      </c>
      <c r="C93" s="756"/>
      <c r="D93" s="757"/>
      <c r="E93" s="757"/>
      <c r="F93" s="144"/>
    </row>
    <row r="94" spans="2:6" ht="30" hidden="1" customHeight="1">
      <c r="B94" s="133" t="s">
        <v>230</v>
      </c>
      <c r="C94" s="756"/>
      <c r="D94" s="757"/>
      <c r="E94" s="757"/>
      <c r="F94" s="144"/>
    </row>
    <row r="95" spans="2:6" ht="30" hidden="1" customHeight="1">
      <c r="B95" s="133" t="s">
        <v>231</v>
      </c>
      <c r="C95" s="756"/>
      <c r="D95" s="757"/>
      <c r="E95" s="757"/>
      <c r="F95" s="144"/>
    </row>
    <row r="96" spans="2:6" ht="30" hidden="1" customHeight="1">
      <c r="B96" s="133" t="s">
        <v>277</v>
      </c>
      <c r="C96" s="756"/>
      <c r="D96" s="757"/>
      <c r="E96" s="757"/>
      <c r="F96" s="144"/>
    </row>
    <row r="97" spans="2:6" ht="8.25" hidden="1" customHeight="1">
      <c r="B97" s="132"/>
      <c r="C97" s="132"/>
      <c r="D97" s="132"/>
      <c r="E97" s="132"/>
    </row>
    <row r="98" spans="2:6" ht="6.75" hidden="1" customHeight="1"/>
    <row r="99" spans="2:6" hidden="1">
      <c r="B99" s="673" t="s">
        <v>23</v>
      </c>
      <c r="C99" s="674"/>
      <c r="D99" s="674"/>
      <c r="E99" s="674"/>
      <c r="F99" s="144"/>
    </row>
    <row r="100" spans="2:6" ht="30" hidden="1" customHeight="1">
      <c r="B100" s="758"/>
      <c r="C100" s="759"/>
      <c r="D100" s="759"/>
      <c r="E100" s="759"/>
      <c r="F100" s="144"/>
    </row>
    <row r="101" spans="2:6" ht="15" customHeight="1">
      <c r="B101" s="715" t="s">
        <v>1876</v>
      </c>
      <c r="C101" s="716"/>
      <c r="D101" s="716"/>
      <c r="E101" s="717"/>
      <c r="F101" s="144"/>
    </row>
    <row r="102" spans="2:6" ht="15" customHeight="1">
      <c r="B102" s="133" t="s">
        <v>271</v>
      </c>
      <c r="C102" s="718" t="s">
        <v>1779</v>
      </c>
      <c r="D102" s="719"/>
      <c r="E102" s="720"/>
      <c r="F102" s="144"/>
    </row>
    <row r="103" spans="2:6" ht="30" customHeight="1">
      <c r="B103" s="133" t="s">
        <v>1169</v>
      </c>
      <c r="C103" s="704">
        <v>44707</v>
      </c>
      <c r="D103" s="705"/>
      <c r="E103" s="706"/>
      <c r="F103" s="144"/>
    </row>
    <row r="104" spans="2:6" ht="30" customHeight="1">
      <c r="B104" s="133" t="s">
        <v>276</v>
      </c>
      <c r="C104" s="721" t="s">
        <v>1879</v>
      </c>
      <c r="D104" s="722"/>
      <c r="E104" s="723"/>
      <c r="F104" s="144"/>
    </row>
    <row r="105" spans="2:6" ht="44.25" customHeight="1">
      <c r="B105" s="133" t="s">
        <v>230</v>
      </c>
      <c r="C105" s="632" t="s">
        <v>1816</v>
      </c>
      <c r="D105" s="633"/>
      <c r="E105" s="724"/>
      <c r="F105" s="144"/>
    </row>
    <row r="106" spans="2:6" ht="30" customHeight="1">
      <c r="B106" s="133" t="s">
        <v>231</v>
      </c>
      <c r="C106" s="697" t="s">
        <v>1830</v>
      </c>
      <c r="D106" s="698"/>
      <c r="E106" s="698"/>
      <c r="F106" s="144"/>
    </row>
    <row r="107" spans="2:6" ht="69" customHeight="1">
      <c r="B107" s="133" t="s">
        <v>277</v>
      </c>
      <c r="C107" s="697" t="s">
        <v>1883</v>
      </c>
      <c r="D107" s="698"/>
      <c r="E107" s="698"/>
      <c r="F107" s="144"/>
    </row>
    <row r="108" spans="2:6" ht="8.25" customHeight="1">
      <c r="B108" s="132"/>
      <c r="C108" s="132"/>
      <c r="D108" s="132"/>
      <c r="E108" s="132"/>
    </row>
    <row r="109" spans="2:6" ht="13.5" customHeight="1"/>
    <row r="110" spans="2:6" ht="26.25" customHeight="1">
      <c r="B110" s="707" t="s">
        <v>1881</v>
      </c>
      <c r="C110" s="708"/>
      <c r="D110" s="708"/>
      <c r="E110" s="708"/>
      <c r="F110" s="144"/>
    </row>
    <row r="111" spans="2:6" ht="13.5" customHeight="1">
      <c r="B111" s="133" t="s">
        <v>271</v>
      </c>
      <c r="C111" s="709" t="s">
        <v>1783</v>
      </c>
      <c r="D111" s="710"/>
      <c r="E111" s="710"/>
    </row>
    <row r="112" spans="2:6" ht="35.25" customHeight="1">
      <c r="B112" s="133" t="s">
        <v>1169</v>
      </c>
      <c r="C112" s="711">
        <v>44733</v>
      </c>
      <c r="D112" s="712"/>
      <c r="E112" s="712"/>
    </row>
    <row r="113" spans="2:6" ht="54" customHeight="1">
      <c r="B113" s="133" t="s">
        <v>276</v>
      </c>
      <c r="C113" s="691" t="s">
        <v>1894</v>
      </c>
      <c r="D113" s="692"/>
      <c r="E113" s="692"/>
    </row>
    <row r="114" spans="2:6" ht="26.25" customHeight="1">
      <c r="B114" s="133" t="s">
        <v>230</v>
      </c>
      <c r="C114" s="691" t="s">
        <v>1895</v>
      </c>
      <c r="D114" s="692"/>
      <c r="E114" s="692"/>
    </row>
    <row r="115" spans="2:6" ht="19.5" customHeight="1">
      <c r="B115" s="133" t="s">
        <v>231</v>
      </c>
      <c r="C115" s="688" t="s">
        <v>1808</v>
      </c>
      <c r="D115" s="689"/>
      <c r="E115" s="690"/>
    </row>
    <row r="116" spans="2:6" ht="184.9" customHeight="1">
      <c r="B116" s="133" t="s">
        <v>277</v>
      </c>
      <c r="C116" s="713" t="s">
        <v>1896</v>
      </c>
      <c r="D116" s="714"/>
      <c r="E116" s="714"/>
    </row>
    <row r="117" spans="2:6" ht="13.5" customHeight="1"/>
    <row r="118" spans="2:6" ht="13.5" customHeight="1"/>
    <row r="120" spans="2:6" ht="24.75" customHeight="1">
      <c r="B120" s="699" t="s">
        <v>1882</v>
      </c>
      <c r="C120" s="700"/>
      <c r="D120" s="700"/>
      <c r="E120" s="700"/>
      <c r="F120" s="144"/>
    </row>
    <row r="121" spans="2:6" ht="34.15" customHeight="1">
      <c r="B121" s="133" t="s">
        <v>271</v>
      </c>
      <c r="C121" s="701" t="s">
        <v>1832</v>
      </c>
      <c r="D121" s="702"/>
      <c r="E121" s="703"/>
      <c r="F121" s="144"/>
    </row>
    <row r="122" spans="2:6" ht="30" customHeight="1">
      <c r="B122" s="133" t="s">
        <v>1169</v>
      </c>
      <c r="C122" s="704">
        <v>44749</v>
      </c>
      <c r="D122" s="705"/>
      <c r="E122" s="706"/>
      <c r="F122" s="144"/>
    </row>
    <row r="123" spans="2:6" ht="118.5" customHeight="1">
      <c r="B123" s="133" t="s">
        <v>276</v>
      </c>
      <c r="C123" s="688" t="s">
        <v>1909</v>
      </c>
      <c r="D123" s="689"/>
      <c r="E123" s="690"/>
      <c r="F123" s="144"/>
    </row>
    <row r="124" spans="2:6" ht="99.75" customHeight="1">
      <c r="B124" s="133" t="s">
        <v>230</v>
      </c>
      <c r="C124" s="691" t="s">
        <v>1913</v>
      </c>
      <c r="D124" s="692"/>
      <c r="E124" s="693"/>
      <c r="F124" s="144"/>
    </row>
    <row r="125" spans="2:6" ht="45.75" customHeight="1">
      <c r="B125" s="133" t="s">
        <v>231</v>
      </c>
      <c r="C125" s="688" t="s">
        <v>1808</v>
      </c>
      <c r="D125" s="689"/>
      <c r="E125" s="690"/>
      <c r="F125" s="144"/>
    </row>
    <row r="126" spans="2:6" ht="51" customHeight="1">
      <c r="B126" s="314" t="s">
        <v>277</v>
      </c>
      <c r="C126" s="694" t="s">
        <v>1912</v>
      </c>
      <c r="D126" s="695"/>
      <c r="E126" s="696"/>
      <c r="F126" s="144"/>
    </row>
  </sheetData>
  <sheetProtection formatCells="0" formatColumns="0" formatRows="0" insertHyperlinks="0"/>
  <mergeCells count="87">
    <mergeCell ref="C94:E94"/>
    <mergeCell ref="C95:E95"/>
    <mergeCell ref="C96:E96"/>
    <mergeCell ref="B99:E99"/>
    <mergeCell ref="B100:E100"/>
    <mergeCell ref="B87:E87"/>
    <mergeCell ref="B90:E90"/>
    <mergeCell ref="C91:E91"/>
    <mergeCell ref="C92:E92"/>
    <mergeCell ref="C93:E93"/>
    <mergeCell ref="C80:E80"/>
    <mergeCell ref="C81:E81"/>
    <mergeCell ref="C82:E82"/>
    <mergeCell ref="C83:E83"/>
    <mergeCell ref="B86:E86"/>
    <mergeCell ref="B73:E73"/>
    <mergeCell ref="B74:E74"/>
    <mergeCell ref="B77:E77"/>
    <mergeCell ref="C78:E78"/>
    <mergeCell ref="C79:E79"/>
    <mergeCell ref="C66:E66"/>
    <mergeCell ref="C67:E67"/>
    <mergeCell ref="C68:E68"/>
    <mergeCell ref="C69:E69"/>
    <mergeCell ref="C70:E70"/>
    <mergeCell ref="C57:E57"/>
    <mergeCell ref="B60:E60"/>
    <mergeCell ref="B61:E61"/>
    <mergeCell ref="B64:E64"/>
    <mergeCell ref="C65:E65"/>
    <mergeCell ref="C52:E52"/>
    <mergeCell ref="C53:E53"/>
    <mergeCell ref="C54:E54"/>
    <mergeCell ref="C55:E55"/>
    <mergeCell ref="C56:E56"/>
    <mergeCell ref="C43:E43"/>
    <mergeCell ref="C44:E44"/>
    <mergeCell ref="B47:E47"/>
    <mergeCell ref="B48:E48"/>
    <mergeCell ref="B51:E51"/>
    <mergeCell ref="B38:E38"/>
    <mergeCell ref="C39:E39"/>
    <mergeCell ref="C40:E40"/>
    <mergeCell ref="C41:E41"/>
    <mergeCell ref="C42:E42"/>
    <mergeCell ref="B2:C2"/>
    <mergeCell ref="B18:C18"/>
    <mergeCell ref="B14:C14"/>
    <mergeCell ref="B12:C12"/>
    <mergeCell ref="B7:E7"/>
    <mergeCell ref="B6:E6"/>
    <mergeCell ref="B15:C15"/>
    <mergeCell ref="B35:E35"/>
    <mergeCell ref="B16:C16"/>
    <mergeCell ref="B17:C17"/>
    <mergeCell ref="B19:C19"/>
    <mergeCell ref="B20:C20"/>
    <mergeCell ref="B25:E25"/>
    <mergeCell ref="C26:E26"/>
    <mergeCell ref="C27:E27"/>
    <mergeCell ref="C28:E28"/>
    <mergeCell ref="C29:E29"/>
    <mergeCell ref="C30:E30"/>
    <mergeCell ref="C31:E31"/>
    <mergeCell ref="B34:E34"/>
    <mergeCell ref="B21:C21"/>
    <mergeCell ref="B101:E101"/>
    <mergeCell ref="C102:E102"/>
    <mergeCell ref="C103:E103"/>
    <mergeCell ref="C104:E104"/>
    <mergeCell ref="C105:E105"/>
    <mergeCell ref="C123:E123"/>
    <mergeCell ref="C124:E124"/>
    <mergeCell ref="C125:E125"/>
    <mergeCell ref="C126:E126"/>
    <mergeCell ref="C106:E106"/>
    <mergeCell ref="C107:E107"/>
    <mergeCell ref="B120:E120"/>
    <mergeCell ref="C121:E121"/>
    <mergeCell ref="C122:E122"/>
    <mergeCell ref="B110:E110"/>
    <mergeCell ref="C111:E111"/>
    <mergeCell ref="C112:E112"/>
    <mergeCell ref="C113:E113"/>
    <mergeCell ref="C114:E114"/>
    <mergeCell ref="C115:E115"/>
    <mergeCell ref="C116:E116"/>
  </mergeCells>
  <conditionalFormatting sqref="D12 D15 D17">
    <cfRule type="expression" dxfId="1370" priority="3">
      <formula>$A$2="PRINT"</formula>
    </cfRule>
  </conditionalFormatting>
  <conditionalFormatting sqref="D19">
    <cfRule type="expression" dxfId="1369" priority="2">
      <formula>$A$2="PRINT"</formula>
    </cfRule>
  </conditionalFormatting>
  <conditionalFormatting sqref="D20">
    <cfRule type="expression" dxfId="1368" priority="1">
      <formula>$A$2="PRINT"</formula>
    </cfRule>
  </conditionalFormatting>
  <dataValidations count="1">
    <dataValidation type="list" allowBlank="1" showInputMessage="1" showErrorMessage="1" sqref="D12 D15 D17 D19:D20" xr:uid="{00000000-0002-0000-0700-000000000000}">
      <formula1>"Select,Yes,No"</formula1>
    </dataValidation>
  </dataValidations>
  <pageMargins left="0.70866141732283472" right="0.70866141732283472" top="0.74803149606299213" bottom="0.74803149606299213" header="0.31496062992125984" footer="0.31496062992125984"/>
  <pageSetup scale="77" fitToHeight="0" pageOrder="overThenDown" orientation="portrait" r:id="rId1"/>
  <headerFooter>
    <oddFooter>&amp;C&amp;P</oddFooter>
  </headerFooter>
  <drawing r:id="rId2"/>
  <picture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8">
    <tabColor theme="2" tint="-0.249977111117893"/>
    <pageSetUpPr fitToPage="1"/>
  </sheetPr>
  <dimension ref="A2:J119"/>
  <sheetViews>
    <sheetView showGridLines="0" zoomScaleNormal="100" workbookViewId="0">
      <selection activeCell="C120" sqref="C120"/>
    </sheetView>
  </sheetViews>
  <sheetFormatPr defaultColWidth="9.140625" defaultRowHeight="15"/>
  <cols>
    <col min="1" max="1" width="5.42578125" style="4" customWidth="1"/>
    <col min="2" max="2" width="17.7109375" style="4" customWidth="1"/>
    <col min="3" max="3" width="41.7109375" style="4" customWidth="1"/>
    <col min="4" max="4" width="17.7109375" style="4" customWidth="1"/>
    <col min="5" max="8" width="10.7109375" style="4" customWidth="1"/>
    <col min="9" max="9" width="1.7109375" style="4" customWidth="1"/>
    <col min="10" max="10" width="10.7109375" style="4" customWidth="1"/>
    <col min="11" max="11" width="41.7109375" style="4" customWidth="1"/>
    <col min="12" max="12" width="17.7109375" style="4" customWidth="1"/>
    <col min="13" max="16" width="10.7109375" style="4" customWidth="1"/>
    <col min="17" max="16384" width="9.140625" style="4"/>
  </cols>
  <sheetData>
    <row r="2" spans="1:9" ht="19.5" customHeight="1">
      <c r="A2" s="106"/>
      <c r="B2" s="42" t="s">
        <v>315</v>
      </c>
      <c r="C2" s="42"/>
      <c r="D2" s="48"/>
      <c r="E2" s="48"/>
      <c r="F2" s="48"/>
      <c r="G2" s="48"/>
      <c r="H2" s="31"/>
    </row>
    <row r="4" spans="1:9" ht="16.5" customHeight="1" thickBot="1">
      <c r="B4" s="32" t="s">
        <v>1392</v>
      </c>
      <c r="C4" s="32"/>
      <c r="D4" s="32"/>
      <c r="E4" s="32"/>
      <c r="F4" s="32"/>
      <c r="G4" s="32"/>
      <c r="H4" s="32"/>
    </row>
    <row r="5" spans="1:9" ht="16.5" customHeight="1">
      <c r="B5" s="143"/>
      <c r="C5" s="143"/>
      <c r="D5" s="143"/>
      <c r="E5" s="143"/>
      <c r="F5" s="192"/>
      <c r="G5" s="192"/>
      <c r="H5" s="192"/>
    </row>
    <row r="6" spans="1:9" ht="15" customHeight="1">
      <c r="B6" s="133"/>
      <c r="C6" s="136"/>
      <c r="D6" s="133"/>
      <c r="E6" s="673" t="s">
        <v>28</v>
      </c>
      <c r="F6" s="673"/>
      <c r="G6" s="673"/>
      <c r="H6" s="673"/>
      <c r="I6" s="144"/>
    </row>
    <row r="7" spans="1:9" ht="14.25" customHeight="1">
      <c r="A7" s="193" t="s">
        <v>21</v>
      </c>
      <c r="B7" s="194" t="s">
        <v>27</v>
      </c>
      <c r="C7" s="195" t="s">
        <v>26</v>
      </c>
      <c r="D7" s="196" t="s">
        <v>269</v>
      </c>
      <c r="E7" s="197">
        <v>2016</v>
      </c>
      <c r="F7" s="197">
        <v>2017</v>
      </c>
      <c r="G7" s="198">
        <v>2018</v>
      </c>
      <c r="H7" s="198" t="s">
        <v>29</v>
      </c>
      <c r="I7" s="144"/>
    </row>
    <row r="8" spans="1:9" hidden="1">
      <c r="A8" s="4">
        <v>1</v>
      </c>
      <c r="B8" s="199"/>
      <c r="C8" s="199" t="str">
        <f>IFERROR(INDEX(Table_Airports[AIRPORT_NAME],MATCH($B8,Table_Airports[[AIRPORT_CODE]:[AIRPORT_CODE]],0)),"")</f>
        <v/>
      </c>
      <c r="D8" s="189" t="s">
        <v>240</v>
      </c>
      <c r="E8" s="200" t="str">
        <f>IFERROR((INDEX(Table_Airports[2016],MATCH($B8,Table_Airports[[AIRPORT_CODE]:[AIRPORT_CODE]],0))),"")</f>
        <v/>
      </c>
      <c r="F8" s="200" t="str">
        <f>IFERROR((INDEX(Table_Airports[2017],MATCH($B8,Table_Airports[[AIRPORT_CODE]:[AIRPORT_CODE]],0))),"")</f>
        <v/>
      </c>
      <c r="G8" s="200" t="str">
        <f>IFERROR((INDEX(Table_Airports[2018],MATCH($B8,Table_Airports[[AIRPORT_CODE]:[AIRPORT_CODE]],0))),"")</f>
        <v/>
      </c>
      <c r="H8" s="200" t="str">
        <f>IFERROR((INDEX(Table_Airports[Average],MATCH($B8,Table_Airports[[AIRPORT_CODE]:[AIRPORT_CODE]],0))),"")</f>
        <v/>
      </c>
      <c r="I8" s="146"/>
    </row>
    <row r="9" spans="1:9" hidden="1">
      <c r="A9" s="4">
        <v>2</v>
      </c>
      <c r="B9" s="199"/>
      <c r="C9" s="199" t="str">
        <f>IFERROR(INDEX(Table_Airports[AIRPORT_NAME],MATCH($B9,Table_Airports[[AIRPORT_CODE]:[AIRPORT_CODE]],0)),"")</f>
        <v/>
      </c>
      <c r="D9" s="189" t="s">
        <v>240</v>
      </c>
      <c r="E9" s="200" t="str">
        <f>IFERROR((INDEX(Table_Airports[2016],MATCH($B9,Table_Airports[[AIRPORT_CODE]:[AIRPORT_CODE]],0))),"")</f>
        <v/>
      </c>
      <c r="F9" s="200" t="str">
        <f>IFERROR((INDEX(Table_Airports[2017],MATCH($B9,Table_Airports[[AIRPORT_CODE]:[AIRPORT_CODE]],0))),"")</f>
        <v/>
      </c>
      <c r="G9" s="200" t="str">
        <f>IFERROR((INDEX(Table_Airports[2018],MATCH($B9,Table_Airports[[AIRPORT_CODE]:[AIRPORT_CODE]],0))),"")</f>
        <v/>
      </c>
      <c r="H9" s="200" t="str">
        <f>IFERROR((INDEX(Table_Airports[Average],MATCH($B9,Table_Airports[[AIRPORT_CODE]:[AIRPORT_CODE]],0))),"")</f>
        <v/>
      </c>
      <c r="I9" s="146"/>
    </row>
    <row r="10" spans="1:9" hidden="1">
      <c r="A10" s="4">
        <v>3</v>
      </c>
      <c r="B10" s="199"/>
      <c r="C10" s="199" t="str">
        <f>IFERROR(INDEX(Table_Airports[AIRPORT_NAME],MATCH($B10,Table_Airports[[AIRPORT_CODE]:[AIRPORT_CODE]],0)),"")</f>
        <v/>
      </c>
      <c r="D10" s="189" t="s">
        <v>240</v>
      </c>
      <c r="E10" s="200" t="str">
        <f>IFERROR((INDEX(Table_Airports[2016],MATCH($B10,Table_Airports[[AIRPORT_CODE]:[AIRPORT_CODE]],0))),"")</f>
        <v/>
      </c>
      <c r="F10" s="200" t="str">
        <f>IFERROR((INDEX(Table_Airports[2017],MATCH($B10,Table_Airports[[AIRPORT_CODE]:[AIRPORT_CODE]],0))),"")</f>
        <v/>
      </c>
      <c r="G10" s="200" t="str">
        <f>IFERROR((INDEX(Table_Airports[2018],MATCH($B10,Table_Airports[[AIRPORT_CODE]:[AIRPORT_CODE]],0))),"")</f>
        <v/>
      </c>
      <c r="H10" s="200" t="str">
        <f>IFERROR((INDEX(Table_Airports[Average],MATCH($B10,Table_Airports[[AIRPORT_CODE]:[AIRPORT_CODE]],0))),"")</f>
        <v/>
      </c>
      <c r="I10" s="144"/>
    </row>
    <row r="11" spans="1:9" hidden="1">
      <c r="A11" s="4">
        <v>4</v>
      </c>
      <c r="B11" s="199"/>
      <c r="C11" s="199" t="str">
        <f>IFERROR(INDEX(Table_Airports[AIRPORT_NAME],MATCH($B11,Table_Airports[[AIRPORT_CODE]:[AIRPORT_CODE]],0)),"")</f>
        <v/>
      </c>
      <c r="D11" s="189" t="s">
        <v>240</v>
      </c>
      <c r="E11" s="200" t="str">
        <f>IFERROR((INDEX(Table_Airports[2016],MATCH($B11,Table_Airports[[AIRPORT_CODE]:[AIRPORT_CODE]],0))),"")</f>
        <v/>
      </c>
      <c r="F11" s="200" t="str">
        <f>IFERROR((INDEX(Table_Airports[2017],MATCH($B11,Table_Airports[[AIRPORT_CODE]:[AIRPORT_CODE]],0))),"")</f>
        <v/>
      </c>
      <c r="G11" s="200" t="str">
        <f>IFERROR((INDEX(Table_Airports[2018],MATCH($B11,Table_Airports[[AIRPORT_CODE]:[AIRPORT_CODE]],0))),"")</f>
        <v/>
      </c>
      <c r="H11" s="200" t="str">
        <f>IFERROR((INDEX(Table_Airports[Average],MATCH($B11,Table_Airports[[AIRPORT_CODE]:[AIRPORT_CODE]],0))),"")</f>
        <v/>
      </c>
      <c r="I11" s="144"/>
    </row>
    <row r="12" spans="1:9" hidden="1">
      <c r="A12" s="4">
        <v>5</v>
      </c>
      <c r="B12" s="199"/>
      <c r="C12" s="199" t="str">
        <f>IFERROR(INDEX(Table_Airports[AIRPORT_NAME],MATCH($B12,Table_Airports[[AIRPORT_CODE]:[AIRPORT_CODE]],0)),"")</f>
        <v/>
      </c>
      <c r="D12" s="189" t="s">
        <v>240</v>
      </c>
      <c r="E12" s="200" t="str">
        <f>IFERROR((INDEX(Table_Airports[2016],MATCH($B12,Table_Airports[[AIRPORT_CODE]:[AIRPORT_CODE]],0))),"")</f>
        <v/>
      </c>
      <c r="F12" s="200" t="str">
        <f>IFERROR((INDEX(Table_Airports[2017],MATCH($B12,Table_Airports[[AIRPORT_CODE]:[AIRPORT_CODE]],0))),"")</f>
        <v/>
      </c>
      <c r="G12" s="200" t="str">
        <f>IFERROR((INDEX(Table_Airports[2018],MATCH($B12,Table_Airports[[AIRPORT_CODE]:[AIRPORT_CODE]],0))),"")</f>
        <v/>
      </c>
      <c r="H12" s="200" t="str">
        <f>IFERROR((INDEX(Table_Airports[Average],MATCH($B12,Table_Airports[[AIRPORT_CODE]:[AIRPORT_CODE]],0))),"")</f>
        <v/>
      </c>
      <c r="I12" s="144"/>
    </row>
    <row r="13" spans="1:9" hidden="1">
      <c r="A13" s="4">
        <v>6</v>
      </c>
      <c r="B13" s="199"/>
      <c r="C13" s="199" t="str">
        <f>IFERROR(INDEX(Table_Airports[AIRPORT_NAME],MATCH($B13,Table_Airports[[AIRPORT_CODE]:[AIRPORT_CODE]],0)),"")</f>
        <v/>
      </c>
      <c r="D13" s="189" t="s">
        <v>240</v>
      </c>
      <c r="E13" s="200" t="str">
        <f>IFERROR((INDEX(Table_Airports[2016],MATCH($B13,Table_Airports[[AIRPORT_CODE]:[AIRPORT_CODE]],0))),"")</f>
        <v/>
      </c>
      <c r="F13" s="200" t="str">
        <f>IFERROR((INDEX(Table_Airports[2017],MATCH($B13,Table_Airports[[AIRPORT_CODE]:[AIRPORT_CODE]],0))),"")</f>
        <v/>
      </c>
      <c r="G13" s="200" t="str">
        <f>IFERROR((INDEX(Table_Airports[2018],MATCH($B13,Table_Airports[[AIRPORT_CODE]:[AIRPORT_CODE]],0))),"")</f>
        <v/>
      </c>
      <c r="H13" s="200" t="str">
        <f>IFERROR((INDEX(Table_Airports[Average],MATCH($B13,Table_Airports[[AIRPORT_CODE]:[AIRPORT_CODE]],0))),"")</f>
        <v/>
      </c>
      <c r="I13" s="144"/>
    </row>
    <row r="14" spans="1:9" hidden="1">
      <c r="A14" s="4">
        <v>7</v>
      </c>
      <c r="B14" s="199"/>
      <c r="C14" s="199" t="str">
        <f>IFERROR(INDEX(Table_Airports[AIRPORT_NAME],MATCH($B14,Table_Airports[[AIRPORT_CODE]:[AIRPORT_CODE]],0)),"")</f>
        <v/>
      </c>
      <c r="D14" s="189" t="s">
        <v>240</v>
      </c>
      <c r="E14" s="200" t="str">
        <f>IFERROR((INDEX(Table_Airports[2016],MATCH($B14,Table_Airports[[AIRPORT_CODE]:[AIRPORT_CODE]],0))),"")</f>
        <v/>
      </c>
      <c r="F14" s="200" t="str">
        <f>IFERROR((INDEX(Table_Airports[2017],MATCH($B14,Table_Airports[[AIRPORT_CODE]:[AIRPORT_CODE]],0))),"")</f>
        <v/>
      </c>
      <c r="G14" s="200" t="str">
        <f>IFERROR((INDEX(Table_Airports[2018],MATCH($B14,Table_Airports[[AIRPORT_CODE]:[AIRPORT_CODE]],0))),"")</f>
        <v/>
      </c>
      <c r="H14" s="200" t="str">
        <f>IFERROR((INDEX(Table_Airports[Average],MATCH($B14,Table_Airports[[AIRPORT_CODE]:[AIRPORT_CODE]],0))),"")</f>
        <v/>
      </c>
      <c r="I14" s="144"/>
    </row>
    <row r="15" spans="1:9" hidden="1">
      <c r="A15" s="4">
        <v>8</v>
      </c>
      <c r="B15" s="199"/>
      <c r="C15" s="199" t="str">
        <f>IFERROR(INDEX(Table_Airports[AIRPORT_NAME],MATCH($B15,Table_Airports[[AIRPORT_CODE]:[AIRPORT_CODE]],0)),"")</f>
        <v/>
      </c>
      <c r="D15" s="189" t="s">
        <v>240</v>
      </c>
      <c r="E15" s="200" t="str">
        <f>IFERROR((INDEX(Table_Airports[2016],MATCH($B15,Table_Airports[[AIRPORT_CODE]:[AIRPORT_CODE]],0))),"")</f>
        <v/>
      </c>
      <c r="F15" s="200" t="str">
        <f>IFERROR((INDEX(Table_Airports[2017],MATCH($B15,Table_Airports[[AIRPORT_CODE]:[AIRPORT_CODE]],0))),"")</f>
        <v/>
      </c>
      <c r="G15" s="200" t="str">
        <f>IFERROR((INDEX(Table_Airports[2018],MATCH($B15,Table_Airports[[AIRPORT_CODE]:[AIRPORT_CODE]],0))),"")</f>
        <v/>
      </c>
      <c r="H15" s="200" t="str">
        <f>IFERROR((INDEX(Table_Airports[Average],MATCH($B15,Table_Airports[[AIRPORT_CODE]:[AIRPORT_CODE]],0))),"")</f>
        <v/>
      </c>
      <c r="I15" s="144"/>
    </row>
    <row r="16" spans="1:9" hidden="1">
      <c r="A16" s="4">
        <v>9</v>
      </c>
      <c r="B16" s="199"/>
      <c r="C16" s="199" t="str">
        <f>IFERROR(INDEX(Table_Airports[AIRPORT_NAME],MATCH($B16,Table_Airports[[AIRPORT_CODE]:[AIRPORT_CODE]],0)),"")</f>
        <v/>
      </c>
      <c r="D16" s="189" t="s">
        <v>240</v>
      </c>
      <c r="E16" s="200" t="str">
        <f>IFERROR((INDEX(Table_Airports[2016],MATCH($B16,Table_Airports[[AIRPORT_CODE]:[AIRPORT_CODE]],0))),"")</f>
        <v/>
      </c>
      <c r="F16" s="200" t="str">
        <f>IFERROR((INDEX(Table_Airports[2017],MATCH($B16,Table_Airports[[AIRPORT_CODE]:[AIRPORT_CODE]],0))),"")</f>
        <v/>
      </c>
      <c r="G16" s="200" t="str">
        <f>IFERROR((INDEX(Table_Airports[2018],MATCH($B16,Table_Airports[[AIRPORT_CODE]:[AIRPORT_CODE]],0))),"")</f>
        <v/>
      </c>
      <c r="H16" s="200" t="str">
        <f>IFERROR((INDEX(Table_Airports[Average],MATCH($B16,Table_Airports[[AIRPORT_CODE]:[AIRPORT_CODE]],0))),"")</f>
        <v/>
      </c>
      <c r="I16" s="144"/>
    </row>
    <row r="17" spans="1:10" hidden="1">
      <c r="A17" s="4">
        <v>10</v>
      </c>
      <c r="B17" s="199"/>
      <c r="C17" s="199" t="str">
        <f>IFERROR(INDEX(Table_Airports[AIRPORT_NAME],MATCH($B17,Table_Airports[[AIRPORT_CODE]:[AIRPORT_CODE]],0)),"")</f>
        <v/>
      </c>
      <c r="D17" s="189" t="s">
        <v>240</v>
      </c>
      <c r="E17" s="200" t="str">
        <f>IFERROR((INDEX(Table_Airports[2016],MATCH($B17,Table_Airports[[AIRPORT_CODE]:[AIRPORT_CODE]],0))),"")</f>
        <v/>
      </c>
      <c r="F17" s="200" t="str">
        <f>IFERROR((INDEX(Table_Airports[2017],MATCH($B17,Table_Airports[[AIRPORT_CODE]:[AIRPORT_CODE]],0))),"")</f>
        <v/>
      </c>
      <c r="G17" s="200" t="str">
        <f>IFERROR((INDEX(Table_Airports[2018],MATCH($B17,Table_Airports[[AIRPORT_CODE]:[AIRPORT_CODE]],0))),"")</f>
        <v/>
      </c>
      <c r="H17" s="200" t="str">
        <f>IFERROR((INDEX(Table_Airports[Average],MATCH($B17,Table_Airports[[AIRPORT_CODE]:[AIRPORT_CODE]],0))),"")</f>
        <v/>
      </c>
      <c r="I17" s="144"/>
    </row>
    <row r="18" spans="1:10" hidden="1">
      <c r="A18" s="4">
        <v>11</v>
      </c>
      <c r="B18" s="199"/>
      <c r="C18" s="199" t="str">
        <f>IFERROR(INDEX(Table_Airports[AIRPORT_NAME],MATCH($B18,Table_Airports[[AIRPORT_CODE]:[AIRPORT_CODE]],0)),"")</f>
        <v/>
      </c>
      <c r="D18" s="189" t="s">
        <v>240</v>
      </c>
      <c r="E18" s="200" t="str">
        <f>IFERROR((INDEX(Table_Airports[2016],MATCH($B18,Table_Airports[[AIRPORT_CODE]:[AIRPORT_CODE]],0))),"")</f>
        <v/>
      </c>
      <c r="F18" s="200" t="str">
        <f>IFERROR((INDEX(Table_Airports[2017],MATCH($B18,Table_Airports[[AIRPORT_CODE]:[AIRPORT_CODE]],0))),"")</f>
        <v/>
      </c>
      <c r="G18" s="200" t="str">
        <f>IFERROR((INDEX(Table_Airports[2018],MATCH($B18,Table_Airports[[AIRPORT_CODE]:[AIRPORT_CODE]],0))),"")</f>
        <v/>
      </c>
      <c r="H18" s="200" t="str">
        <f>IFERROR((INDEX(Table_Airports[Average],MATCH($B18,Table_Airports[[AIRPORT_CODE]:[AIRPORT_CODE]],0))),"")</f>
        <v/>
      </c>
      <c r="I18" s="144"/>
    </row>
    <row r="19" spans="1:10" hidden="1">
      <c r="A19" s="4">
        <v>12</v>
      </c>
      <c r="B19" s="199"/>
      <c r="C19" s="199" t="str">
        <f>IFERROR(INDEX(Table_Airports[AIRPORT_NAME],MATCH($B19,Table_Airports[[AIRPORT_CODE]:[AIRPORT_CODE]],0)),"")</f>
        <v/>
      </c>
      <c r="D19" s="189" t="s">
        <v>240</v>
      </c>
      <c r="E19" s="200" t="str">
        <f>IFERROR((INDEX(Table_Airports[2016],MATCH($B19,Table_Airports[[AIRPORT_CODE]:[AIRPORT_CODE]],0))),"")</f>
        <v/>
      </c>
      <c r="F19" s="200" t="str">
        <f>IFERROR((INDEX(Table_Airports[2017],MATCH($B19,Table_Airports[[AIRPORT_CODE]:[AIRPORT_CODE]],0))),"")</f>
        <v/>
      </c>
      <c r="G19" s="200" t="str">
        <f>IFERROR((INDEX(Table_Airports[2018],MATCH($B19,Table_Airports[[AIRPORT_CODE]:[AIRPORT_CODE]],0))),"")</f>
        <v/>
      </c>
      <c r="H19" s="200" t="str">
        <f>IFERROR((INDEX(Table_Airports[Average],MATCH($B19,Table_Airports[[AIRPORT_CODE]:[AIRPORT_CODE]],0))),"")</f>
        <v/>
      </c>
      <c r="I19" s="144"/>
    </row>
    <row r="20" spans="1:10" hidden="1">
      <c r="A20" s="4">
        <v>13</v>
      </c>
      <c r="B20" s="199"/>
      <c r="C20" s="199" t="str">
        <f>IFERROR(INDEX(Table_Airports[AIRPORT_NAME],MATCH($B20,Table_Airports[[AIRPORT_CODE]:[AIRPORT_CODE]],0)),"")</f>
        <v/>
      </c>
      <c r="D20" s="189" t="s">
        <v>240</v>
      </c>
      <c r="E20" s="200" t="str">
        <f>IFERROR((INDEX(Table_Airports[2016],MATCH($B20,Table_Airports[[AIRPORT_CODE]:[AIRPORT_CODE]],0))),"")</f>
        <v/>
      </c>
      <c r="F20" s="200" t="str">
        <f>IFERROR((INDEX(Table_Airports[2017],MATCH($B20,Table_Airports[[AIRPORT_CODE]:[AIRPORT_CODE]],0))),"")</f>
        <v/>
      </c>
      <c r="G20" s="200" t="str">
        <f>IFERROR((INDEX(Table_Airports[2018],MATCH($B20,Table_Airports[[AIRPORT_CODE]:[AIRPORT_CODE]],0))),"")</f>
        <v/>
      </c>
      <c r="H20" s="200" t="str">
        <f>IFERROR((INDEX(Table_Airports[Average],MATCH($B20,Table_Airports[[AIRPORT_CODE]:[AIRPORT_CODE]],0))),"")</f>
        <v/>
      </c>
      <c r="I20" s="144"/>
    </row>
    <row r="21" spans="1:10" hidden="1">
      <c r="A21" s="4">
        <v>14</v>
      </c>
      <c r="B21" s="199"/>
      <c r="C21" s="199" t="str">
        <f>IFERROR(INDEX(Table_Airports[AIRPORT_NAME],MATCH($B21,Table_Airports[[AIRPORT_CODE]:[AIRPORT_CODE]],0)),"")</f>
        <v/>
      </c>
      <c r="D21" s="189" t="s">
        <v>240</v>
      </c>
      <c r="E21" s="200" t="str">
        <f>IFERROR((INDEX(Table_Airports[2016],MATCH($B21,Table_Airports[[AIRPORT_CODE]:[AIRPORT_CODE]],0))),"")</f>
        <v/>
      </c>
      <c r="F21" s="200" t="str">
        <f>IFERROR((INDEX(Table_Airports[2017],MATCH($B21,Table_Airports[[AIRPORT_CODE]:[AIRPORT_CODE]],0))),"")</f>
        <v/>
      </c>
      <c r="G21" s="200" t="str">
        <f>IFERROR((INDEX(Table_Airports[2018],MATCH($B21,Table_Airports[[AIRPORT_CODE]:[AIRPORT_CODE]],0))),"")</f>
        <v/>
      </c>
      <c r="H21" s="200" t="str">
        <f>IFERROR((INDEX(Table_Airports[Average],MATCH($B21,Table_Airports[[AIRPORT_CODE]:[AIRPORT_CODE]],0))),"")</f>
        <v/>
      </c>
      <c r="I21" s="144"/>
    </row>
    <row r="22" spans="1:10" ht="15" hidden="1" customHeight="1">
      <c r="A22" s="4">
        <v>15</v>
      </c>
      <c r="B22" s="199"/>
      <c r="C22" s="199" t="str">
        <f>IFERROR(INDEX(Table_Airports[AIRPORT_NAME],MATCH($B22,Table_Airports[[AIRPORT_CODE]:[AIRPORT_CODE]],0)),"")</f>
        <v/>
      </c>
      <c r="D22" s="189" t="s">
        <v>240</v>
      </c>
      <c r="E22" s="200" t="str">
        <f>IFERROR((INDEX(Table_Airports[2016],MATCH($B22,Table_Airports[[AIRPORT_CODE]:[AIRPORT_CODE]],0))),"")</f>
        <v/>
      </c>
      <c r="F22" s="200" t="str">
        <f>IFERROR((INDEX(Table_Airports[2017],MATCH($B22,Table_Airports[[AIRPORT_CODE]:[AIRPORT_CODE]],0))),"")</f>
        <v/>
      </c>
      <c r="G22" s="200" t="str">
        <f>IFERROR((INDEX(Table_Airports[2018],MATCH($B22,Table_Airports[[AIRPORT_CODE]:[AIRPORT_CODE]],0))),"")</f>
        <v/>
      </c>
      <c r="H22" s="200" t="str">
        <f>IFERROR((INDEX(Table_Airports[Average],MATCH($B22,Table_Airports[[AIRPORT_CODE]:[AIRPORT_CODE]],0))),"")</f>
        <v/>
      </c>
      <c r="I22" s="144"/>
    </row>
    <row r="23" spans="1:10" ht="15" hidden="1" customHeight="1">
      <c r="A23" s="4">
        <v>16</v>
      </c>
      <c r="B23" s="199"/>
      <c r="C23" s="199" t="str">
        <f>IFERROR(INDEX(Table_Airports[AIRPORT_NAME],MATCH($B23,Table_Airports[[AIRPORT_CODE]:[AIRPORT_CODE]],0)),"")</f>
        <v/>
      </c>
      <c r="D23" s="189" t="s">
        <v>240</v>
      </c>
      <c r="E23" s="200" t="str">
        <f>IFERROR((INDEX(Table_Airports[2016],MATCH($B23,Table_Airports[[AIRPORT_CODE]:[AIRPORT_CODE]],0))),"")</f>
        <v/>
      </c>
      <c r="F23" s="200" t="str">
        <f>IFERROR((INDEX(Table_Airports[2017],MATCH($B23,Table_Airports[[AIRPORT_CODE]:[AIRPORT_CODE]],0))),"")</f>
        <v/>
      </c>
      <c r="G23" s="200" t="str">
        <f>IFERROR((INDEX(Table_Airports[2018],MATCH($B23,Table_Airports[[AIRPORT_CODE]:[AIRPORT_CODE]],0))),"")</f>
        <v/>
      </c>
      <c r="H23" s="200" t="str">
        <f>IFERROR((INDEX(Table_Airports[Average],MATCH($B23,Table_Airports[[AIRPORT_CODE]:[AIRPORT_CODE]],0))),"")</f>
        <v/>
      </c>
      <c r="I23" s="144"/>
    </row>
    <row r="24" spans="1:10" ht="15" hidden="1" customHeight="1">
      <c r="A24" s="4">
        <v>17</v>
      </c>
      <c r="B24" s="199"/>
      <c r="C24" s="199" t="str">
        <f>IFERROR(INDEX(Table_Airports[AIRPORT_NAME],MATCH($B24,Table_Airports[[AIRPORT_CODE]:[AIRPORT_CODE]],0)),"")</f>
        <v/>
      </c>
      <c r="D24" s="189" t="s">
        <v>240</v>
      </c>
      <c r="E24" s="200" t="str">
        <f>IFERROR((INDEX(Table_Airports[2016],MATCH($B24,Table_Airports[[AIRPORT_CODE]:[AIRPORT_CODE]],0))),"")</f>
        <v/>
      </c>
      <c r="F24" s="200" t="str">
        <f>IFERROR((INDEX(Table_Airports[2017],MATCH($B24,Table_Airports[[AIRPORT_CODE]:[AIRPORT_CODE]],0))),"")</f>
        <v/>
      </c>
      <c r="G24" s="200" t="str">
        <f>IFERROR((INDEX(Table_Airports[2018],MATCH($B24,Table_Airports[[AIRPORT_CODE]:[AIRPORT_CODE]],0))),"")</f>
        <v/>
      </c>
      <c r="H24" s="200" t="str">
        <f>IFERROR((INDEX(Table_Airports[Average],MATCH($B24,Table_Airports[[AIRPORT_CODE]:[AIRPORT_CODE]],0))),"")</f>
        <v/>
      </c>
      <c r="I24" s="144"/>
    </row>
    <row r="25" spans="1:10" ht="15" hidden="1" customHeight="1">
      <c r="A25" s="4">
        <v>18</v>
      </c>
      <c r="B25" s="199"/>
      <c r="C25" s="199" t="str">
        <f>IFERROR(INDEX(Table_Airports[AIRPORT_NAME],MATCH($B25,Table_Airports[[AIRPORT_CODE]:[AIRPORT_CODE]],0)),"")</f>
        <v/>
      </c>
      <c r="D25" s="189" t="s">
        <v>240</v>
      </c>
      <c r="E25" s="200" t="str">
        <f>IFERROR((INDEX(Table_Airports[2016],MATCH($B25,Table_Airports[[AIRPORT_CODE]:[AIRPORT_CODE]],0))),"")</f>
        <v/>
      </c>
      <c r="F25" s="200" t="str">
        <f>IFERROR((INDEX(Table_Airports[2017],MATCH($B25,Table_Airports[[AIRPORT_CODE]:[AIRPORT_CODE]],0))),"")</f>
        <v/>
      </c>
      <c r="G25" s="200" t="str">
        <f>IFERROR((INDEX(Table_Airports[2018],MATCH($B25,Table_Airports[[AIRPORT_CODE]:[AIRPORT_CODE]],0))),"")</f>
        <v/>
      </c>
      <c r="H25" s="200" t="str">
        <f>IFERROR((INDEX(Table_Airports[Average],MATCH($B25,Table_Airports[[AIRPORT_CODE]:[AIRPORT_CODE]],0))),"")</f>
        <v/>
      </c>
      <c r="I25" s="144"/>
    </row>
    <row r="26" spans="1:10" ht="15" hidden="1" customHeight="1">
      <c r="A26" s="4">
        <v>19</v>
      </c>
      <c r="B26" s="199"/>
      <c r="C26" s="199" t="str">
        <f>IFERROR(INDEX(Table_Airports[AIRPORT_NAME],MATCH($B26,Table_Airports[[AIRPORT_CODE]:[AIRPORT_CODE]],0)),"")</f>
        <v/>
      </c>
      <c r="D26" s="189" t="s">
        <v>240</v>
      </c>
      <c r="E26" s="200" t="str">
        <f>IFERROR((INDEX(Table_Airports[2016],MATCH($B26,Table_Airports[[AIRPORT_CODE]:[AIRPORT_CODE]],0))),"")</f>
        <v/>
      </c>
      <c r="F26" s="200" t="str">
        <f>IFERROR((INDEX(Table_Airports[2017],MATCH($B26,Table_Airports[[AIRPORT_CODE]:[AIRPORT_CODE]],0))),"")</f>
        <v/>
      </c>
      <c r="G26" s="200" t="str">
        <f>IFERROR((INDEX(Table_Airports[2018],MATCH($B26,Table_Airports[[AIRPORT_CODE]:[AIRPORT_CODE]],0))),"")</f>
        <v/>
      </c>
      <c r="H26" s="200" t="str">
        <f>IFERROR((INDEX(Table_Airports[Average],MATCH($B26,Table_Airports[[AIRPORT_CODE]:[AIRPORT_CODE]],0))),"")</f>
        <v/>
      </c>
      <c r="I26" s="144"/>
    </row>
    <row r="27" spans="1:10" ht="15" hidden="1" customHeight="1">
      <c r="A27" s="4">
        <v>20</v>
      </c>
      <c r="B27" s="199"/>
      <c r="C27" s="199" t="str">
        <f>IFERROR(INDEX(Table_Airports[AIRPORT_NAME],MATCH($B27,Table_Airports[[AIRPORT_CODE]:[AIRPORT_CODE]],0)),"")</f>
        <v/>
      </c>
      <c r="D27" s="189" t="s">
        <v>240</v>
      </c>
      <c r="E27" s="200" t="str">
        <f>IFERROR((INDEX(Table_Airports[2016],MATCH($B27,Table_Airports[[AIRPORT_CODE]:[AIRPORT_CODE]],0))),"")</f>
        <v/>
      </c>
      <c r="F27" s="200" t="str">
        <f>IFERROR((INDEX(Table_Airports[2017],MATCH($B27,Table_Airports[[AIRPORT_CODE]:[AIRPORT_CODE]],0))),"")</f>
        <v/>
      </c>
      <c r="G27" s="200" t="str">
        <f>IFERROR((INDEX(Table_Airports[2018],MATCH($B27,Table_Airports[[AIRPORT_CODE]:[AIRPORT_CODE]],0))),"")</f>
        <v/>
      </c>
      <c r="H27" s="200" t="str">
        <f>IFERROR((INDEX(Table_Airports[Average],MATCH($B27,Table_Airports[[AIRPORT_CODE]:[AIRPORT_CODE]],0))),"")</f>
        <v/>
      </c>
      <c r="I27" s="144"/>
    </row>
    <row r="28" spans="1:10">
      <c r="B28" s="201"/>
      <c r="C28" s="201"/>
      <c r="D28" s="201"/>
      <c r="E28" s="202"/>
      <c r="F28" s="202"/>
      <c r="G28" s="202"/>
      <c r="H28" s="202"/>
    </row>
    <row r="29" spans="1:10" ht="16.5" customHeight="1" thickBot="1">
      <c r="B29" s="32" t="s">
        <v>305</v>
      </c>
      <c r="C29" s="32"/>
      <c r="D29" s="32"/>
      <c r="E29" s="32"/>
      <c r="F29" s="32"/>
      <c r="G29" s="32"/>
      <c r="H29" s="32"/>
      <c r="I29" s="38"/>
    </row>
    <row r="30" spans="1:10" ht="16.5" customHeight="1">
      <c r="B30" s="143"/>
      <c r="C30" s="143"/>
      <c r="D30" s="203"/>
      <c r="E30" s="203"/>
      <c r="F30" s="203"/>
      <c r="G30" s="203"/>
      <c r="H30" s="203"/>
    </row>
    <row r="31" spans="1:10" ht="16.5" customHeight="1">
      <c r="A31" s="193" t="s">
        <v>21</v>
      </c>
      <c r="B31" s="133" t="s">
        <v>18</v>
      </c>
      <c r="C31" s="652">
        <v>0</v>
      </c>
      <c r="D31" s="653"/>
      <c r="E31" s="653"/>
      <c r="F31" s="653"/>
      <c r="G31" s="653"/>
      <c r="H31" s="653"/>
      <c r="I31" s="144"/>
    </row>
    <row r="32" spans="1:10" ht="14.25" customHeight="1">
      <c r="A32" s="193">
        <v>0</v>
      </c>
      <c r="B32" s="133" t="s">
        <v>27</v>
      </c>
      <c r="C32" s="136" t="s">
        <v>26</v>
      </c>
      <c r="D32" s="133" t="s">
        <v>269</v>
      </c>
      <c r="E32" s="765" t="s">
        <v>308</v>
      </c>
      <c r="F32" s="766"/>
      <c r="G32" s="766"/>
      <c r="H32" s="766"/>
      <c r="I32" s="146"/>
      <c r="J32" s="3"/>
    </row>
    <row r="33" spans="1:10" hidden="1">
      <c r="A33" s="4">
        <v>1</v>
      </c>
      <c r="B33" s="204"/>
      <c r="C33" s="204"/>
      <c r="D33" s="189" t="s">
        <v>240</v>
      </c>
      <c r="E33" s="760"/>
      <c r="F33" s="761"/>
      <c r="G33" s="761"/>
      <c r="H33" s="762"/>
      <c r="I33" s="144"/>
      <c r="J33" s="3"/>
    </row>
    <row r="34" spans="1:10" hidden="1">
      <c r="A34" s="4">
        <v>2</v>
      </c>
      <c r="B34" s="204"/>
      <c r="C34" s="204"/>
      <c r="D34" s="189" t="s">
        <v>240</v>
      </c>
      <c r="E34" s="760"/>
      <c r="F34" s="761"/>
      <c r="G34" s="761"/>
      <c r="H34" s="762"/>
      <c r="I34" s="163"/>
      <c r="J34" s="3"/>
    </row>
    <row r="35" spans="1:10" hidden="1">
      <c r="A35" s="4">
        <v>3</v>
      </c>
      <c r="B35" s="204"/>
      <c r="C35" s="204"/>
      <c r="D35" s="189" t="s">
        <v>240</v>
      </c>
      <c r="E35" s="760"/>
      <c r="F35" s="761"/>
      <c r="G35" s="761"/>
      <c r="H35" s="762"/>
      <c r="I35" s="163"/>
      <c r="J35" s="3"/>
    </row>
    <row r="36" spans="1:10" hidden="1">
      <c r="A36" s="4">
        <v>4</v>
      </c>
      <c r="B36" s="204"/>
      <c r="C36" s="204"/>
      <c r="D36" s="189" t="s">
        <v>240</v>
      </c>
      <c r="E36" s="760"/>
      <c r="F36" s="761"/>
      <c r="G36" s="761"/>
      <c r="H36" s="762"/>
      <c r="I36" s="163"/>
      <c r="J36" s="3"/>
    </row>
    <row r="37" spans="1:10" hidden="1">
      <c r="A37" s="4">
        <v>5</v>
      </c>
      <c r="B37" s="204"/>
      <c r="C37" s="204"/>
      <c r="D37" s="189" t="s">
        <v>240</v>
      </c>
      <c r="E37" s="760"/>
      <c r="F37" s="761"/>
      <c r="G37" s="761"/>
      <c r="H37" s="762"/>
      <c r="I37" s="144"/>
      <c r="J37" s="3"/>
    </row>
    <row r="38" spans="1:10" hidden="1">
      <c r="A38" s="4">
        <v>6</v>
      </c>
      <c r="B38" s="204"/>
      <c r="C38" s="204"/>
      <c r="D38" s="189" t="s">
        <v>240</v>
      </c>
      <c r="E38" s="760"/>
      <c r="F38" s="761"/>
      <c r="G38" s="761"/>
      <c r="H38" s="762"/>
      <c r="I38" s="144"/>
      <c r="J38" s="3"/>
    </row>
    <row r="39" spans="1:10" hidden="1">
      <c r="A39" s="4">
        <v>7</v>
      </c>
      <c r="B39" s="204"/>
      <c r="C39" s="204"/>
      <c r="D39" s="189" t="s">
        <v>240</v>
      </c>
      <c r="E39" s="760"/>
      <c r="F39" s="761"/>
      <c r="G39" s="761"/>
      <c r="H39" s="762"/>
      <c r="I39" s="144"/>
      <c r="J39" s="3"/>
    </row>
    <row r="40" spans="1:10" hidden="1">
      <c r="A40" s="4">
        <v>8</v>
      </c>
      <c r="B40" s="204"/>
      <c r="C40" s="204"/>
      <c r="D40" s="189" t="s">
        <v>240</v>
      </c>
      <c r="E40" s="760"/>
      <c r="F40" s="761"/>
      <c r="G40" s="761"/>
      <c r="H40" s="762"/>
      <c r="I40" s="144"/>
      <c r="J40" s="3"/>
    </row>
    <row r="41" spans="1:10" hidden="1">
      <c r="A41" s="4">
        <v>9</v>
      </c>
      <c r="B41" s="204"/>
      <c r="C41" s="204"/>
      <c r="D41" s="189" t="s">
        <v>240</v>
      </c>
      <c r="E41" s="760"/>
      <c r="F41" s="761"/>
      <c r="G41" s="761"/>
      <c r="H41" s="762"/>
      <c r="I41" s="144"/>
      <c r="J41" s="3"/>
    </row>
    <row r="42" spans="1:10" hidden="1">
      <c r="A42" s="4">
        <v>10</v>
      </c>
      <c r="B42" s="204"/>
      <c r="C42" s="204"/>
      <c r="D42" s="189" t="s">
        <v>240</v>
      </c>
      <c r="E42" s="760"/>
      <c r="F42" s="761"/>
      <c r="G42" s="761"/>
      <c r="H42" s="762"/>
      <c r="I42" s="144"/>
    </row>
    <row r="43" spans="1:10" hidden="1">
      <c r="A43" s="4">
        <v>11</v>
      </c>
      <c r="B43" s="204"/>
      <c r="C43" s="204"/>
      <c r="D43" s="189" t="s">
        <v>240</v>
      </c>
      <c r="E43" s="760"/>
      <c r="F43" s="761"/>
      <c r="G43" s="761"/>
      <c r="H43" s="762"/>
      <c r="I43" s="144"/>
    </row>
    <row r="44" spans="1:10" hidden="1">
      <c r="A44" s="4">
        <v>12</v>
      </c>
      <c r="B44" s="204"/>
      <c r="C44" s="204"/>
      <c r="D44" s="189" t="s">
        <v>240</v>
      </c>
      <c r="E44" s="760"/>
      <c r="F44" s="761"/>
      <c r="G44" s="761"/>
      <c r="H44" s="762"/>
      <c r="I44" s="144"/>
    </row>
    <row r="45" spans="1:10" hidden="1">
      <c r="A45" s="4">
        <v>13</v>
      </c>
      <c r="B45" s="204"/>
      <c r="C45" s="204"/>
      <c r="D45" s="189" t="s">
        <v>240</v>
      </c>
      <c r="E45" s="760"/>
      <c r="F45" s="761"/>
      <c r="G45" s="761"/>
      <c r="H45" s="762"/>
      <c r="I45" s="144"/>
    </row>
    <row r="46" spans="1:10" hidden="1">
      <c r="A46" s="4">
        <v>14</v>
      </c>
      <c r="B46" s="204"/>
      <c r="C46" s="204"/>
      <c r="D46" s="189" t="s">
        <v>240</v>
      </c>
      <c r="E46" s="760"/>
      <c r="F46" s="761"/>
      <c r="G46" s="761"/>
      <c r="H46" s="762"/>
      <c r="I46" s="144"/>
    </row>
    <row r="47" spans="1:10" ht="15" hidden="1" customHeight="1">
      <c r="A47" s="4">
        <v>15</v>
      </c>
      <c r="B47" s="204"/>
      <c r="C47" s="204"/>
      <c r="D47" s="189" t="s">
        <v>240</v>
      </c>
      <c r="E47" s="760"/>
      <c r="F47" s="761"/>
      <c r="G47" s="761"/>
      <c r="H47" s="762"/>
      <c r="I47" s="144"/>
    </row>
    <row r="48" spans="1:10" ht="15" hidden="1" customHeight="1">
      <c r="A48" s="4">
        <v>16</v>
      </c>
      <c r="B48" s="204"/>
      <c r="C48" s="204"/>
      <c r="D48" s="189" t="s">
        <v>240</v>
      </c>
      <c r="E48" s="760"/>
      <c r="F48" s="761"/>
      <c r="G48" s="761"/>
      <c r="H48" s="762"/>
      <c r="I48" s="144"/>
    </row>
    <row r="49" spans="1:9" ht="15" hidden="1" customHeight="1">
      <c r="A49" s="4">
        <v>17</v>
      </c>
      <c r="B49" s="204"/>
      <c r="C49" s="204"/>
      <c r="D49" s="189" t="s">
        <v>240</v>
      </c>
      <c r="E49" s="760"/>
      <c r="F49" s="761"/>
      <c r="G49" s="761"/>
      <c r="H49" s="762"/>
      <c r="I49" s="144"/>
    </row>
    <row r="50" spans="1:9" ht="15" hidden="1" customHeight="1">
      <c r="A50" s="4">
        <v>18</v>
      </c>
      <c r="B50" s="204"/>
      <c r="C50" s="204"/>
      <c r="D50" s="189" t="s">
        <v>240</v>
      </c>
      <c r="E50" s="760"/>
      <c r="F50" s="761"/>
      <c r="G50" s="761"/>
      <c r="H50" s="762"/>
      <c r="I50" s="144"/>
    </row>
    <row r="51" spans="1:9" ht="15" hidden="1" customHeight="1">
      <c r="A51" s="4">
        <v>19</v>
      </c>
      <c r="B51" s="204"/>
      <c r="C51" s="204"/>
      <c r="D51" s="189" t="s">
        <v>240</v>
      </c>
      <c r="E51" s="760"/>
      <c r="F51" s="761"/>
      <c r="G51" s="761"/>
      <c r="H51" s="762"/>
      <c r="I51" s="144"/>
    </row>
    <row r="52" spans="1:9" ht="15" hidden="1" customHeight="1">
      <c r="A52" s="4">
        <v>20</v>
      </c>
      <c r="B52" s="204"/>
      <c r="C52" s="204"/>
      <c r="D52" s="189" t="s">
        <v>240</v>
      </c>
      <c r="E52" s="760"/>
      <c r="F52" s="761"/>
      <c r="G52" s="761"/>
      <c r="H52" s="762"/>
      <c r="I52" s="144"/>
    </row>
    <row r="53" spans="1:9" ht="15" hidden="1" customHeight="1">
      <c r="A53" s="4">
        <v>21</v>
      </c>
      <c r="B53" s="204"/>
      <c r="C53" s="204"/>
      <c r="D53" s="189" t="s">
        <v>240</v>
      </c>
      <c r="E53" s="760"/>
      <c r="F53" s="761"/>
      <c r="G53" s="761"/>
      <c r="H53" s="762"/>
      <c r="I53" s="144"/>
    </row>
    <row r="54" spans="1:9" ht="15" hidden="1" customHeight="1">
      <c r="A54" s="4">
        <v>22</v>
      </c>
      <c r="B54" s="204"/>
      <c r="C54" s="204"/>
      <c r="D54" s="189" t="s">
        <v>240</v>
      </c>
      <c r="E54" s="760"/>
      <c r="F54" s="761"/>
      <c r="G54" s="761"/>
      <c r="H54" s="762"/>
      <c r="I54" s="144"/>
    </row>
    <row r="55" spans="1:9" ht="15" hidden="1" customHeight="1">
      <c r="A55" s="4">
        <v>23</v>
      </c>
      <c r="B55" s="204"/>
      <c r="C55" s="204"/>
      <c r="D55" s="189" t="s">
        <v>240</v>
      </c>
      <c r="E55" s="760"/>
      <c r="F55" s="761"/>
      <c r="G55" s="761"/>
      <c r="H55" s="762"/>
      <c r="I55" s="144"/>
    </row>
    <row r="56" spans="1:9" ht="15" hidden="1" customHeight="1">
      <c r="A56" s="4">
        <v>24</v>
      </c>
      <c r="B56" s="204"/>
      <c r="C56" s="204"/>
      <c r="D56" s="189" t="s">
        <v>240</v>
      </c>
      <c r="E56" s="760"/>
      <c r="F56" s="761"/>
      <c r="G56" s="761"/>
      <c r="H56" s="762"/>
      <c r="I56" s="144"/>
    </row>
    <row r="57" spans="1:9" ht="15" hidden="1" customHeight="1">
      <c r="A57" s="4">
        <v>25</v>
      </c>
      <c r="B57" s="204"/>
      <c r="C57" s="204"/>
      <c r="D57" s="189" t="s">
        <v>240</v>
      </c>
      <c r="E57" s="760"/>
      <c r="F57" s="761"/>
      <c r="G57" s="761"/>
      <c r="H57" s="762"/>
      <c r="I57" s="144"/>
    </row>
    <row r="58" spans="1:9" ht="15" hidden="1" customHeight="1">
      <c r="A58" s="4">
        <v>26</v>
      </c>
      <c r="B58" s="204"/>
      <c r="C58" s="204"/>
      <c r="D58" s="189" t="s">
        <v>240</v>
      </c>
      <c r="E58" s="760"/>
      <c r="F58" s="761"/>
      <c r="G58" s="761"/>
      <c r="H58" s="762"/>
      <c r="I58" s="144"/>
    </row>
    <row r="59" spans="1:9" ht="15" hidden="1" customHeight="1">
      <c r="A59" s="4">
        <v>27</v>
      </c>
      <c r="B59" s="204"/>
      <c r="C59" s="204"/>
      <c r="D59" s="189" t="s">
        <v>240</v>
      </c>
      <c r="E59" s="760"/>
      <c r="F59" s="761"/>
      <c r="G59" s="761"/>
      <c r="H59" s="762"/>
      <c r="I59" s="144"/>
    </row>
    <row r="60" spans="1:9" ht="15" hidden="1" customHeight="1">
      <c r="A60" s="4">
        <v>28</v>
      </c>
      <c r="B60" s="204"/>
      <c r="C60" s="204"/>
      <c r="D60" s="189" t="s">
        <v>240</v>
      </c>
      <c r="E60" s="760"/>
      <c r="F60" s="761"/>
      <c r="G60" s="761"/>
      <c r="H60" s="762"/>
      <c r="I60" s="144"/>
    </row>
    <row r="61" spans="1:9" ht="15" hidden="1" customHeight="1">
      <c r="A61" s="4">
        <v>29</v>
      </c>
      <c r="B61" s="204"/>
      <c r="C61" s="204"/>
      <c r="D61" s="189" t="s">
        <v>240</v>
      </c>
      <c r="E61" s="760"/>
      <c r="F61" s="761"/>
      <c r="G61" s="761"/>
      <c r="H61" s="762"/>
      <c r="I61" s="144"/>
    </row>
    <row r="62" spans="1:9" ht="15" hidden="1" customHeight="1">
      <c r="A62" s="4">
        <v>30</v>
      </c>
      <c r="B62" s="204"/>
      <c r="C62" s="204"/>
      <c r="D62" s="189" t="s">
        <v>240</v>
      </c>
      <c r="E62" s="760"/>
      <c r="F62" s="761"/>
      <c r="G62" s="761"/>
      <c r="H62" s="762"/>
      <c r="I62" s="144"/>
    </row>
    <row r="63" spans="1:9" ht="15" hidden="1" customHeight="1">
      <c r="A63" s="4">
        <v>31</v>
      </c>
      <c r="B63" s="204"/>
      <c r="C63" s="204"/>
      <c r="D63" s="189" t="s">
        <v>240</v>
      </c>
      <c r="E63" s="760"/>
      <c r="F63" s="761"/>
      <c r="G63" s="761"/>
      <c r="H63" s="762"/>
      <c r="I63" s="144"/>
    </row>
    <row r="64" spans="1:9" ht="15" hidden="1" customHeight="1">
      <c r="A64" s="4">
        <v>32</v>
      </c>
      <c r="B64" s="204"/>
      <c r="C64" s="204"/>
      <c r="D64" s="189" t="s">
        <v>240</v>
      </c>
      <c r="E64" s="760"/>
      <c r="F64" s="761"/>
      <c r="G64" s="761"/>
      <c r="H64" s="762"/>
      <c r="I64" s="144"/>
    </row>
    <row r="65" spans="1:9" ht="15" hidden="1" customHeight="1">
      <c r="A65" s="4">
        <v>33</v>
      </c>
      <c r="B65" s="204"/>
      <c r="C65" s="204"/>
      <c r="D65" s="189" t="s">
        <v>240</v>
      </c>
      <c r="E65" s="760"/>
      <c r="F65" s="761"/>
      <c r="G65" s="761"/>
      <c r="H65" s="762"/>
      <c r="I65" s="144"/>
    </row>
    <row r="66" spans="1:9" ht="15" hidden="1" customHeight="1">
      <c r="A66" s="4">
        <v>34</v>
      </c>
      <c r="B66" s="204"/>
      <c r="C66" s="204"/>
      <c r="D66" s="189" t="s">
        <v>240</v>
      </c>
      <c r="E66" s="760"/>
      <c r="F66" s="761"/>
      <c r="G66" s="761"/>
      <c r="H66" s="762"/>
      <c r="I66" s="144"/>
    </row>
    <row r="67" spans="1:9" ht="15" hidden="1" customHeight="1">
      <c r="A67" s="4">
        <v>35</v>
      </c>
      <c r="B67" s="204"/>
      <c r="C67" s="204"/>
      <c r="D67" s="189" t="s">
        <v>240</v>
      </c>
      <c r="E67" s="760"/>
      <c r="F67" s="761"/>
      <c r="G67" s="761"/>
      <c r="H67" s="762"/>
      <c r="I67" s="144"/>
    </row>
    <row r="68" spans="1:9" ht="15" hidden="1" customHeight="1">
      <c r="A68" s="4">
        <v>36</v>
      </c>
      <c r="B68" s="204"/>
      <c r="C68" s="204"/>
      <c r="D68" s="189" t="s">
        <v>240</v>
      </c>
      <c r="E68" s="760"/>
      <c r="F68" s="761"/>
      <c r="G68" s="761"/>
      <c r="H68" s="762"/>
      <c r="I68" s="144"/>
    </row>
    <row r="69" spans="1:9" ht="15" hidden="1" customHeight="1">
      <c r="A69" s="4">
        <v>37</v>
      </c>
      <c r="B69" s="204"/>
      <c r="C69" s="204"/>
      <c r="D69" s="189" t="s">
        <v>240</v>
      </c>
      <c r="E69" s="760"/>
      <c r="F69" s="761"/>
      <c r="G69" s="761"/>
      <c r="H69" s="762"/>
      <c r="I69" s="144"/>
    </row>
    <row r="70" spans="1:9" ht="15" hidden="1" customHeight="1">
      <c r="A70" s="4">
        <v>38</v>
      </c>
      <c r="B70" s="204"/>
      <c r="C70" s="204"/>
      <c r="D70" s="189" t="s">
        <v>240</v>
      </c>
      <c r="E70" s="760"/>
      <c r="F70" s="761"/>
      <c r="G70" s="761"/>
      <c r="H70" s="762"/>
      <c r="I70" s="144"/>
    </row>
    <row r="71" spans="1:9" ht="15" hidden="1" customHeight="1">
      <c r="A71" s="4">
        <v>39</v>
      </c>
      <c r="B71" s="204"/>
      <c r="C71" s="204"/>
      <c r="D71" s="189" t="s">
        <v>240</v>
      </c>
      <c r="E71" s="760"/>
      <c r="F71" s="761"/>
      <c r="G71" s="761"/>
      <c r="H71" s="762"/>
      <c r="I71" s="144"/>
    </row>
    <row r="72" spans="1:9" ht="15" hidden="1" customHeight="1">
      <c r="A72" s="4">
        <v>40</v>
      </c>
      <c r="B72" s="204"/>
      <c r="C72" s="204"/>
      <c r="D72" s="189" t="s">
        <v>240</v>
      </c>
      <c r="E72" s="760"/>
      <c r="F72" s="761"/>
      <c r="G72" s="761"/>
      <c r="H72" s="762"/>
      <c r="I72" s="144"/>
    </row>
    <row r="73" spans="1:9" ht="15" hidden="1" customHeight="1">
      <c r="A73" s="4">
        <v>41</v>
      </c>
      <c r="B73" s="204"/>
      <c r="C73" s="204"/>
      <c r="D73" s="189" t="s">
        <v>240</v>
      </c>
      <c r="E73" s="760"/>
      <c r="F73" s="761"/>
      <c r="G73" s="761"/>
      <c r="H73" s="762"/>
      <c r="I73" s="144"/>
    </row>
    <row r="74" spans="1:9" ht="15" hidden="1" customHeight="1">
      <c r="A74" s="4">
        <v>42</v>
      </c>
      <c r="B74" s="204"/>
      <c r="C74" s="204"/>
      <c r="D74" s="189" t="s">
        <v>240</v>
      </c>
      <c r="E74" s="760"/>
      <c r="F74" s="761"/>
      <c r="G74" s="761"/>
      <c r="H74" s="762"/>
      <c r="I74" s="144"/>
    </row>
    <row r="75" spans="1:9" ht="15" hidden="1" customHeight="1">
      <c r="A75" s="4">
        <v>43</v>
      </c>
      <c r="B75" s="204"/>
      <c r="C75" s="204"/>
      <c r="D75" s="189" t="s">
        <v>240</v>
      </c>
      <c r="E75" s="760"/>
      <c r="F75" s="761"/>
      <c r="G75" s="761"/>
      <c r="H75" s="762"/>
      <c r="I75" s="144"/>
    </row>
    <row r="76" spans="1:9" ht="15" hidden="1" customHeight="1">
      <c r="A76" s="4">
        <v>44</v>
      </c>
      <c r="B76" s="204"/>
      <c r="C76" s="204"/>
      <c r="D76" s="189" t="s">
        <v>240</v>
      </c>
      <c r="E76" s="760"/>
      <c r="F76" s="761"/>
      <c r="G76" s="761"/>
      <c r="H76" s="762"/>
      <c r="I76" s="144"/>
    </row>
    <row r="77" spans="1:9" ht="15" hidden="1" customHeight="1">
      <c r="A77" s="4">
        <v>45</v>
      </c>
      <c r="B77" s="204"/>
      <c r="C77" s="204"/>
      <c r="D77" s="189" t="s">
        <v>240</v>
      </c>
      <c r="E77" s="760"/>
      <c r="F77" s="761"/>
      <c r="G77" s="761"/>
      <c r="H77" s="762"/>
      <c r="I77" s="144"/>
    </row>
    <row r="78" spans="1:9" ht="15" hidden="1" customHeight="1">
      <c r="A78" s="4">
        <v>46</v>
      </c>
      <c r="B78" s="204"/>
      <c r="C78" s="204"/>
      <c r="D78" s="189" t="s">
        <v>240</v>
      </c>
      <c r="E78" s="760"/>
      <c r="F78" s="761"/>
      <c r="G78" s="761"/>
      <c r="H78" s="762"/>
      <c r="I78" s="144"/>
    </row>
    <row r="79" spans="1:9" ht="15" hidden="1" customHeight="1">
      <c r="A79" s="4">
        <v>47</v>
      </c>
      <c r="B79" s="204"/>
      <c r="C79" s="204"/>
      <c r="D79" s="189" t="s">
        <v>240</v>
      </c>
      <c r="E79" s="760"/>
      <c r="F79" s="761"/>
      <c r="G79" s="761"/>
      <c r="H79" s="762"/>
      <c r="I79" s="144"/>
    </row>
    <row r="80" spans="1:9" ht="15" hidden="1" customHeight="1">
      <c r="A80" s="4">
        <v>48</v>
      </c>
      <c r="B80" s="204"/>
      <c r="C80" s="204"/>
      <c r="D80" s="189" t="s">
        <v>240</v>
      </c>
      <c r="E80" s="760"/>
      <c r="F80" s="761"/>
      <c r="G80" s="761"/>
      <c r="H80" s="762"/>
      <c r="I80" s="144"/>
    </row>
    <row r="81" spans="1:9" ht="15" hidden="1" customHeight="1">
      <c r="A81" s="4">
        <v>49</v>
      </c>
      <c r="B81" s="204"/>
      <c r="C81" s="204"/>
      <c r="D81" s="189" t="s">
        <v>240</v>
      </c>
      <c r="E81" s="760"/>
      <c r="F81" s="761"/>
      <c r="G81" s="761"/>
      <c r="H81" s="762"/>
      <c r="I81" s="144"/>
    </row>
    <row r="82" spans="1:9" ht="15" hidden="1" customHeight="1">
      <c r="A82" s="4">
        <v>50</v>
      </c>
      <c r="B82" s="204"/>
      <c r="C82" s="204"/>
      <c r="D82" s="189" t="s">
        <v>240</v>
      </c>
      <c r="E82" s="760"/>
      <c r="F82" s="761"/>
      <c r="G82" s="761"/>
      <c r="H82" s="762"/>
      <c r="I82" s="144"/>
    </row>
    <row r="83" spans="1:9" ht="15" hidden="1" customHeight="1">
      <c r="A83" s="4">
        <v>51</v>
      </c>
      <c r="B83" s="204"/>
      <c r="C83" s="204"/>
      <c r="D83" s="189" t="s">
        <v>240</v>
      </c>
      <c r="E83" s="760"/>
      <c r="F83" s="761"/>
      <c r="G83" s="761"/>
      <c r="H83" s="762"/>
      <c r="I83" s="144"/>
    </row>
    <row r="84" spans="1:9" ht="15" hidden="1" customHeight="1">
      <c r="A84" s="4">
        <v>52</v>
      </c>
      <c r="B84" s="204"/>
      <c r="C84" s="204"/>
      <c r="D84" s="189" t="s">
        <v>240</v>
      </c>
      <c r="E84" s="760"/>
      <c r="F84" s="761"/>
      <c r="G84" s="761"/>
      <c r="H84" s="762"/>
      <c r="I84" s="144"/>
    </row>
    <row r="85" spans="1:9" ht="15" hidden="1" customHeight="1">
      <c r="A85" s="4">
        <v>53</v>
      </c>
      <c r="B85" s="204"/>
      <c r="C85" s="204"/>
      <c r="D85" s="189" t="s">
        <v>240</v>
      </c>
      <c r="E85" s="760"/>
      <c r="F85" s="761"/>
      <c r="G85" s="761"/>
      <c r="H85" s="762"/>
      <c r="I85" s="144"/>
    </row>
    <row r="86" spans="1:9" ht="15" hidden="1" customHeight="1">
      <c r="A86" s="4">
        <v>54</v>
      </c>
      <c r="B86" s="204"/>
      <c r="C86" s="204"/>
      <c r="D86" s="189" t="s">
        <v>240</v>
      </c>
      <c r="E86" s="760"/>
      <c r="F86" s="761"/>
      <c r="G86" s="761"/>
      <c r="H86" s="762"/>
      <c r="I86" s="144"/>
    </row>
    <row r="87" spans="1:9" ht="15" hidden="1" customHeight="1">
      <c r="A87" s="4">
        <v>55</v>
      </c>
      <c r="B87" s="204"/>
      <c r="C87" s="204"/>
      <c r="D87" s="189" t="s">
        <v>240</v>
      </c>
      <c r="E87" s="760"/>
      <c r="F87" s="761"/>
      <c r="G87" s="761"/>
      <c r="H87" s="762"/>
      <c r="I87" s="144"/>
    </row>
    <row r="88" spans="1:9" ht="15" hidden="1" customHeight="1">
      <c r="A88" s="4">
        <v>56</v>
      </c>
      <c r="B88" s="204"/>
      <c r="C88" s="204"/>
      <c r="D88" s="189" t="s">
        <v>240</v>
      </c>
      <c r="E88" s="760"/>
      <c r="F88" s="761"/>
      <c r="G88" s="761"/>
      <c r="H88" s="762"/>
      <c r="I88" s="144"/>
    </row>
    <row r="89" spans="1:9" ht="15" hidden="1" customHeight="1">
      <c r="A89" s="4">
        <v>57</v>
      </c>
      <c r="B89" s="204"/>
      <c r="C89" s="204"/>
      <c r="D89" s="189" t="s">
        <v>240</v>
      </c>
      <c r="E89" s="760"/>
      <c r="F89" s="761"/>
      <c r="G89" s="761"/>
      <c r="H89" s="762"/>
      <c r="I89" s="144"/>
    </row>
    <row r="90" spans="1:9" ht="15" hidden="1" customHeight="1">
      <c r="A90" s="4">
        <v>58</v>
      </c>
      <c r="B90" s="204"/>
      <c r="C90" s="204"/>
      <c r="D90" s="189" t="s">
        <v>240</v>
      </c>
      <c r="E90" s="760"/>
      <c r="F90" s="761"/>
      <c r="G90" s="761"/>
      <c r="H90" s="762"/>
      <c r="I90" s="144"/>
    </row>
    <row r="91" spans="1:9" ht="15" hidden="1" customHeight="1">
      <c r="A91" s="4">
        <v>59</v>
      </c>
      <c r="B91" s="204"/>
      <c r="C91" s="204"/>
      <c r="D91" s="189" t="s">
        <v>240</v>
      </c>
      <c r="E91" s="760"/>
      <c r="F91" s="761"/>
      <c r="G91" s="761"/>
      <c r="H91" s="762"/>
      <c r="I91" s="144"/>
    </row>
    <row r="92" spans="1:9" ht="15" hidden="1" customHeight="1">
      <c r="A92" s="4">
        <v>60</v>
      </c>
      <c r="B92" s="204"/>
      <c r="C92" s="204"/>
      <c r="D92" s="189" t="s">
        <v>240</v>
      </c>
      <c r="E92" s="760"/>
      <c r="F92" s="761"/>
      <c r="G92" s="761"/>
      <c r="H92" s="762"/>
      <c r="I92" s="144"/>
    </row>
    <row r="93" spans="1:9" ht="15" hidden="1" customHeight="1">
      <c r="A93" s="4">
        <v>61</v>
      </c>
      <c r="B93" s="204"/>
      <c r="C93" s="204"/>
      <c r="D93" s="189" t="s">
        <v>240</v>
      </c>
      <c r="E93" s="760"/>
      <c r="F93" s="761"/>
      <c r="G93" s="761"/>
      <c r="H93" s="762"/>
      <c r="I93" s="144"/>
    </row>
    <row r="94" spans="1:9" ht="15" hidden="1" customHeight="1">
      <c r="A94" s="4">
        <v>62</v>
      </c>
      <c r="B94" s="204"/>
      <c r="C94" s="204"/>
      <c r="D94" s="189" t="s">
        <v>240</v>
      </c>
      <c r="E94" s="760"/>
      <c r="F94" s="761"/>
      <c r="G94" s="761"/>
      <c r="H94" s="762"/>
      <c r="I94" s="144"/>
    </row>
    <row r="95" spans="1:9" ht="15" hidden="1" customHeight="1">
      <c r="A95" s="4">
        <v>63</v>
      </c>
      <c r="B95" s="204"/>
      <c r="C95" s="204"/>
      <c r="D95" s="189" t="s">
        <v>240</v>
      </c>
      <c r="E95" s="760"/>
      <c r="F95" s="761"/>
      <c r="G95" s="761"/>
      <c r="H95" s="762"/>
      <c r="I95" s="144"/>
    </row>
    <row r="96" spans="1:9" ht="15" hidden="1" customHeight="1">
      <c r="A96" s="4">
        <v>64</v>
      </c>
      <c r="B96" s="204"/>
      <c r="C96" s="204"/>
      <c r="D96" s="189" t="s">
        <v>240</v>
      </c>
      <c r="E96" s="760"/>
      <c r="F96" s="761"/>
      <c r="G96" s="761"/>
      <c r="H96" s="762"/>
      <c r="I96" s="144"/>
    </row>
    <row r="97" spans="1:9" ht="15" hidden="1" customHeight="1">
      <c r="A97" s="4">
        <v>65</v>
      </c>
      <c r="B97" s="204"/>
      <c r="C97" s="204"/>
      <c r="D97" s="189" t="s">
        <v>240</v>
      </c>
      <c r="E97" s="760"/>
      <c r="F97" s="761"/>
      <c r="G97" s="761"/>
      <c r="H97" s="762"/>
      <c r="I97" s="144"/>
    </row>
    <row r="98" spans="1:9" ht="15" hidden="1" customHeight="1">
      <c r="A98" s="4">
        <v>66</v>
      </c>
      <c r="B98" s="204"/>
      <c r="C98" s="204"/>
      <c r="D98" s="189" t="s">
        <v>240</v>
      </c>
      <c r="E98" s="760"/>
      <c r="F98" s="761"/>
      <c r="G98" s="761"/>
      <c r="H98" s="762"/>
      <c r="I98" s="144"/>
    </row>
    <row r="99" spans="1:9" ht="15" hidden="1" customHeight="1">
      <c r="A99" s="4">
        <v>67</v>
      </c>
      <c r="B99" s="204"/>
      <c r="C99" s="204"/>
      <c r="D99" s="189" t="s">
        <v>240</v>
      </c>
      <c r="E99" s="760"/>
      <c r="F99" s="761"/>
      <c r="G99" s="761"/>
      <c r="H99" s="762"/>
      <c r="I99" s="144"/>
    </row>
    <row r="100" spans="1:9" ht="15" hidden="1" customHeight="1">
      <c r="A100" s="4">
        <v>68</v>
      </c>
      <c r="B100" s="204"/>
      <c r="C100" s="204"/>
      <c r="D100" s="189" t="s">
        <v>240</v>
      </c>
      <c r="E100" s="760"/>
      <c r="F100" s="761"/>
      <c r="G100" s="761"/>
      <c r="H100" s="762"/>
      <c r="I100" s="144"/>
    </row>
    <row r="101" spans="1:9" ht="15" hidden="1" customHeight="1">
      <c r="A101" s="4">
        <v>69</v>
      </c>
      <c r="B101" s="204"/>
      <c r="C101" s="204"/>
      <c r="D101" s="189" t="s">
        <v>240</v>
      </c>
      <c r="E101" s="760"/>
      <c r="F101" s="761"/>
      <c r="G101" s="761"/>
      <c r="H101" s="762"/>
      <c r="I101" s="144"/>
    </row>
    <row r="102" spans="1:9" ht="15" hidden="1" customHeight="1">
      <c r="A102" s="4">
        <v>70</v>
      </c>
      <c r="B102" s="204"/>
      <c r="C102" s="204"/>
      <c r="D102" s="189" t="s">
        <v>240</v>
      </c>
      <c r="E102" s="760"/>
      <c r="F102" s="761"/>
      <c r="G102" s="761"/>
      <c r="H102" s="762"/>
      <c r="I102" s="144"/>
    </row>
    <row r="103" spans="1:9" ht="15" hidden="1" customHeight="1">
      <c r="A103" s="4">
        <v>71</v>
      </c>
      <c r="B103" s="204"/>
      <c r="C103" s="204"/>
      <c r="D103" s="189" t="s">
        <v>240</v>
      </c>
      <c r="E103" s="760"/>
      <c r="F103" s="761"/>
      <c r="G103" s="761"/>
      <c r="H103" s="762"/>
      <c r="I103" s="144"/>
    </row>
    <row r="104" spans="1:9" ht="15" hidden="1" customHeight="1">
      <c r="A104" s="4">
        <v>72</v>
      </c>
      <c r="B104" s="204"/>
      <c r="C104" s="204"/>
      <c r="D104" s="189" t="s">
        <v>240</v>
      </c>
      <c r="E104" s="760"/>
      <c r="F104" s="761"/>
      <c r="G104" s="761"/>
      <c r="H104" s="762"/>
      <c r="I104" s="144"/>
    </row>
    <row r="105" spans="1:9" ht="15" hidden="1" customHeight="1">
      <c r="A105" s="4">
        <v>73</v>
      </c>
      <c r="B105" s="204"/>
      <c r="C105" s="204"/>
      <c r="D105" s="189" t="s">
        <v>240</v>
      </c>
      <c r="E105" s="760"/>
      <c r="F105" s="761"/>
      <c r="G105" s="761"/>
      <c r="H105" s="762"/>
      <c r="I105" s="144"/>
    </row>
    <row r="106" spans="1:9" ht="15" hidden="1" customHeight="1">
      <c r="A106" s="4">
        <v>74</v>
      </c>
      <c r="B106" s="204"/>
      <c r="C106" s="204"/>
      <c r="D106" s="189" t="s">
        <v>240</v>
      </c>
      <c r="E106" s="760"/>
      <c r="F106" s="761"/>
      <c r="G106" s="761"/>
      <c r="H106" s="762"/>
      <c r="I106" s="144"/>
    </row>
    <row r="107" spans="1:9" ht="15" hidden="1" customHeight="1">
      <c r="A107" s="4">
        <v>75</v>
      </c>
      <c r="B107" s="204"/>
      <c r="C107" s="204"/>
      <c r="D107" s="189" t="s">
        <v>240</v>
      </c>
      <c r="E107" s="760"/>
      <c r="F107" s="761"/>
      <c r="G107" s="761"/>
      <c r="H107" s="762"/>
      <c r="I107" s="144"/>
    </row>
    <row r="108" spans="1:9" ht="15" hidden="1" customHeight="1">
      <c r="A108" s="4">
        <v>76</v>
      </c>
      <c r="B108" s="204"/>
      <c r="C108" s="204"/>
      <c r="D108" s="189" t="s">
        <v>240</v>
      </c>
      <c r="E108" s="760"/>
      <c r="F108" s="761"/>
      <c r="G108" s="761"/>
      <c r="H108" s="762"/>
      <c r="I108" s="144"/>
    </row>
    <row r="109" spans="1:9" ht="15" hidden="1" customHeight="1">
      <c r="A109" s="4">
        <v>77</v>
      </c>
      <c r="B109" s="204"/>
      <c r="C109" s="204"/>
      <c r="D109" s="189" t="s">
        <v>240</v>
      </c>
      <c r="E109" s="760"/>
      <c r="F109" s="761"/>
      <c r="G109" s="761"/>
      <c r="H109" s="762"/>
      <c r="I109" s="144"/>
    </row>
    <row r="110" spans="1:9" ht="15" hidden="1" customHeight="1">
      <c r="A110" s="4">
        <v>78</v>
      </c>
      <c r="B110" s="204"/>
      <c r="C110" s="204"/>
      <c r="D110" s="189" t="s">
        <v>240</v>
      </c>
      <c r="E110" s="760"/>
      <c r="F110" s="761"/>
      <c r="G110" s="761"/>
      <c r="H110" s="762"/>
      <c r="I110" s="144"/>
    </row>
    <row r="111" spans="1:9" ht="15" hidden="1" customHeight="1">
      <c r="A111" s="4">
        <v>79</v>
      </c>
      <c r="B111" s="204"/>
      <c r="C111" s="204"/>
      <c r="D111" s="189" t="s">
        <v>240</v>
      </c>
      <c r="E111" s="760"/>
      <c r="F111" s="761"/>
      <c r="G111" s="761"/>
      <c r="H111" s="762"/>
      <c r="I111" s="144"/>
    </row>
    <row r="112" spans="1:9" ht="15" hidden="1" customHeight="1">
      <c r="A112" s="4">
        <v>80</v>
      </c>
      <c r="B112" s="204"/>
      <c r="C112" s="204"/>
      <c r="D112" s="189" t="s">
        <v>240</v>
      </c>
      <c r="E112" s="760"/>
      <c r="F112" s="761"/>
      <c r="G112" s="761"/>
      <c r="H112" s="762"/>
      <c r="I112" s="144"/>
    </row>
    <row r="113" spans="2:9" ht="9" customHeight="1">
      <c r="B113" s="201" t="str">
        <f ca="1">IFERROR(INDEX(Table_TCZs_RP2[APT_CODE],_xlfn.AGGREGATE(15,3,(ISERROR(FIND(OFFSET(Table_TCZs_RP2[[#Headers],[APT_CODE]],MATCH(Signatories!$C$5,Table_TCZs_RP2[Country_Name],0),,COUNTIF(Table_TCZs_RP2[Country_Name],Signatories!$C$5)),CONCATENATE($B$8,$B$9,$B$10,$B$11,$B$12,$B$13,$B$14,$B$15,$B$16,$B$17,$B$18,$B$19,$B$20,$B$21,$B$22,$B$23,$B$24,$B$25,$B$26,$B$27)))=TRUE)/(ISERROR(FIND(OFFSET(Table_TCZs_RP2[[#Headers],[APT_CODE]],MATCH(Signatories!$C$5,Table_TCZs_RP2[Country_Name],0),,COUNTIF(Table_TCZs_RP2[Country_Name],Signatories!$C$5)),CONCATENATE($B$8,$B$9,$B$10,$B$11,$B$12,$B$13,$B$14,$B$15,$B$16,$B$17,$B$18,$B$19,$B$20,$B$21,$B$22,$B$23,$B$24,$B$25,$B$26,$B$27)))=TRUE)*(ROW(OFFSET(Table_TCZs_RP2[[#Headers],[APT_CODE]],MATCH(Signatories!$C$5,Table_TCZs_RP2[Country_Name],0),,COUNTIF(Table_TCZs_RP2[Country_Name],Signatories!$C$5)))-4),IF($A113&lt;=$C$31,$A113,0))),"")</f>
        <v/>
      </c>
      <c r="C113" s="201"/>
      <c r="D113" s="201"/>
      <c r="E113" s="202"/>
      <c r="F113" s="202"/>
      <c r="G113" s="202"/>
      <c r="H113" s="202"/>
    </row>
    <row r="114" spans="2:9" ht="15.75" customHeight="1">
      <c r="B114" s="370"/>
      <c r="C114" s="371"/>
      <c r="D114" s="371"/>
      <c r="E114" s="371"/>
      <c r="F114" s="371"/>
      <c r="G114" s="371"/>
      <c r="H114" s="371"/>
    </row>
    <row r="115" spans="2:9" ht="15.75" customHeight="1">
      <c r="B115" s="763" t="s">
        <v>23</v>
      </c>
      <c r="C115" s="764"/>
      <c r="D115" s="764"/>
      <c r="E115" s="764"/>
      <c r="F115" s="764"/>
      <c r="G115" s="764"/>
      <c r="H115" s="764"/>
      <c r="I115" s="144"/>
    </row>
    <row r="116" spans="2:9" ht="51.75" customHeight="1">
      <c r="B116" s="637"/>
      <c r="C116" s="638"/>
      <c r="D116" s="638"/>
      <c r="E116" s="638"/>
      <c r="F116" s="638"/>
      <c r="G116" s="638"/>
      <c r="H116" s="638"/>
      <c r="I116" s="144"/>
    </row>
    <row r="117" spans="2:9">
      <c r="B117" s="206"/>
      <c r="C117" s="206"/>
      <c r="D117" s="206"/>
      <c r="E117" s="206"/>
      <c r="F117" s="206"/>
      <c r="G117" s="206"/>
      <c r="H117" s="206"/>
    </row>
    <row r="119" spans="2:9" ht="15" customHeight="1"/>
  </sheetData>
  <sheetProtection formatCells="0" formatColumns="0" formatRows="0" insertHyperlinks="0"/>
  <mergeCells count="85">
    <mergeCell ref="B115:H115"/>
    <mergeCell ref="B116:H116"/>
    <mergeCell ref="E6:H6"/>
    <mergeCell ref="C31:H31"/>
    <mergeCell ref="E32:H32"/>
    <mergeCell ref="E33:H33"/>
    <mergeCell ref="E34:H34"/>
    <mergeCell ref="E35:H35"/>
    <mergeCell ref="E36:H36"/>
    <mergeCell ref="E37:H37"/>
    <mergeCell ref="E38:H38"/>
    <mergeCell ref="E39:H39"/>
    <mergeCell ref="E40:H40"/>
    <mergeCell ref="E41:H41"/>
    <mergeCell ref="E42:H42"/>
    <mergeCell ref="E43:H43"/>
    <mergeCell ref="E44:H44"/>
    <mergeCell ref="E45:H45"/>
    <mergeCell ref="E46:H46"/>
    <mergeCell ref="E47:H47"/>
    <mergeCell ref="E48:H48"/>
    <mergeCell ref="E49:H49"/>
    <mergeCell ref="E50:H50"/>
    <mergeCell ref="E51:H51"/>
    <mergeCell ref="E52:H52"/>
    <mergeCell ref="E53:H53"/>
    <mergeCell ref="E54:H54"/>
    <mergeCell ref="E55:H55"/>
    <mergeCell ref="E56:H56"/>
    <mergeCell ref="E57:H57"/>
    <mergeCell ref="E58:H58"/>
    <mergeCell ref="E59:H59"/>
    <mergeCell ref="E60:H60"/>
    <mergeCell ref="E61:H61"/>
    <mergeCell ref="E62:H62"/>
    <mergeCell ref="E63:H63"/>
    <mergeCell ref="E64:H64"/>
    <mergeCell ref="E65:H65"/>
    <mergeCell ref="E66:H66"/>
    <mergeCell ref="E67:H67"/>
    <mergeCell ref="E68:H68"/>
    <mergeCell ref="E69:H69"/>
    <mergeCell ref="E70:H70"/>
    <mergeCell ref="E71:H71"/>
    <mergeCell ref="E72:H72"/>
    <mergeCell ref="E73:H73"/>
    <mergeCell ref="E74:H74"/>
    <mergeCell ref="E75:H75"/>
    <mergeCell ref="E76:H76"/>
    <mergeCell ref="E77:H77"/>
    <mergeCell ref="E78:H78"/>
    <mergeCell ref="E79:H79"/>
    <mergeCell ref="E80:H80"/>
    <mergeCell ref="E81:H81"/>
    <mergeCell ref="E82:H82"/>
    <mergeCell ref="E83:H83"/>
    <mergeCell ref="E84:H84"/>
    <mergeCell ref="E85:H85"/>
    <mergeCell ref="E86:H86"/>
    <mergeCell ref="E87:H87"/>
    <mergeCell ref="E88:H88"/>
    <mergeCell ref="E89:H89"/>
    <mergeCell ref="E90:H90"/>
    <mergeCell ref="E91:H91"/>
    <mergeCell ref="E92:H92"/>
    <mergeCell ref="E93:H93"/>
    <mergeCell ref="E94:H94"/>
    <mergeCell ref="E95:H95"/>
    <mergeCell ref="E96:H96"/>
    <mergeCell ref="E97:H97"/>
    <mergeCell ref="E98:H98"/>
    <mergeCell ref="E99:H99"/>
    <mergeCell ref="E100:H100"/>
    <mergeCell ref="E101:H101"/>
    <mergeCell ref="E102:H102"/>
    <mergeCell ref="E103:H103"/>
    <mergeCell ref="E109:H109"/>
    <mergeCell ref="E110:H110"/>
    <mergeCell ref="E111:H111"/>
    <mergeCell ref="E112:H112"/>
    <mergeCell ref="E104:H104"/>
    <mergeCell ref="E105:H105"/>
    <mergeCell ref="E106:H106"/>
    <mergeCell ref="E107:H107"/>
    <mergeCell ref="E108:H108"/>
  </mergeCells>
  <conditionalFormatting sqref="B8:H27 C31:H31 D33:D112">
    <cfRule type="expression" dxfId="1367" priority="1">
      <formula>$A$2="PRINT"</formula>
    </cfRule>
  </conditionalFormatting>
  <dataValidations count="1">
    <dataValidation type="list" allowBlank="1" showInputMessage="1" showErrorMessage="1" sqref="C31:H31" xr:uid="{00000000-0002-0000-0800-000000000000}">
      <formula1>$A$31:$A$112</formula1>
    </dataValidation>
  </dataValidations>
  <pageMargins left="0.70866141732283472" right="0.70866141732283472" top="0.74803149606299213" bottom="0.74803149606299213" header="0.31496062992125984" footer="0.31496062992125984"/>
  <pageSetup paperSize="9" scale="73" fitToHeight="0" pageOrder="overThenDown" orientation="portrait" r:id="rId1"/>
  <headerFooter>
    <oddFooter>&amp;C&amp;P</oddFooter>
  </headerFooter>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1000000}">
          <x14:formula1>
            <xm:f>OFFSET('Dynamic lists'!$F$5,,,'Dynamic lists'!$G$5)</xm:f>
          </x14:formula1>
          <xm:sqref>D8:D27 D33:D112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72</vt:i4>
      </vt:variant>
    </vt:vector>
  </HeadingPairs>
  <TitlesOfParts>
    <vt:vector size="142" baseType="lpstr">
      <vt:lpstr>Structure and Purpose</vt:lpstr>
      <vt:lpstr>Cover Page</vt:lpstr>
      <vt:lpstr>Table of Content</vt:lpstr>
      <vt:lpstr>Signatories</vt:lpstr>
      <vt:lpstr>1. INTRODUCTION &gt;&gt;&gt;</vt:lpstr>
      <vt:lpstr>1.1 The situation</vt:lpstr>
      <vt:lpstr>1.2 Traffic forecasts</vt:lpstr>
      <vt:lpstr>1.3 Stakeholder consultation</vt:lpstr>
      <vt:lpstr>1.4 List of airports</vt:lpstr>
      <vt:lpstr>1.5 Market conditions</vt:lpstr>
      <vt:lpstr>1.6 FAB process</vt:lpstr>
      <vt:lpstr>1.7 Simplified scheme</vt:lpstr>
      <vt:lpstr>2. INVESTMENTS &gt;&gt;&gt;</vt:lpstr>
      <vt:lpstr>2.1 Investments_ANSP#1</vt:lpstr>
      <vt:lpstr>2.2 Investments_ANSP#2</vt:lpstr>
      <vt:lpstr>2.3 Investments_ANSP#3</vt:lpstr>
      <vt:lpstr>2.4 Investments_ANSP#4</vt:lpstr>
      <vt:lpstr>2.5 Investments_ANSP#5</vt:lpstr>
      <vt:lpstr>2.6 Investments_ANSP#6</vt:lpstr>
      <vt:lpstr>2.7 Investments_ANSP#7</vt:lpstr>
      <vt:lpstr>2.8 Investments_ANSP#8</vt:lpstr>
      <vt:lpstr>2.9 Investments_ANSP#9</vt:lpstr>
      <vt:lpstr>2.10 Investments_ANSP#10</vt:lpstr>
      <vt:lpstr>3. PERFORMANCE TARGETS &gt;&gt;&gt;</vt:lpstr>
      <vt:lpstr>3.1 SAFETY &gt;&gt;&gt;</vt:lpstr>
      <vt:lpstr>3.1 Safety targets</vt:lpstr>
      <vt:lpstr>3.2 ENVIRONMENT &gt;&gt;&gt;</vt:lpstr>
      <vt:lpstr>3.2 Environment targets</vt:lpstr>
      <vt:lpstr>3.3 CAPACITY &gt;&gt;&gt;</vt:lpstr>
      <vt:lpstr>3.3.1 En route</vt:lpstr>
      <vt:lpstr>3.3.2 Terminal</vt:lpstr>
      <vt:lpstr>3.4 COST-EFFICIENCY &gt;&gt;&gt;</vt:lpstr>
      <vt:lpstr>3.4.1 ERT-CZ 1</vt:lpstr>
      <vt:lpstr>3.4.1 ERT-CZ 2</vt:lpstr>
      <vt:lpstr>3.4.1 ERT-CZ 3</vt:lpstr>
      <vt:lpstr>3.4.1 ERT-CZ 4</vt:lpstr>
      <vt:lpstr>3.4.1 ERT-CZ 5</vt:lpstr>
      <vt:lpstr>3.4.2 TERM-CZ 1</vt:lpstr>
      <vt:lpstr>3.4.2 TERM-CZ 2</vt:lpstr>
      <vt:lpstr>3.4.2 TERM-CZ 3</vt:lpstr>
      <vt:lpstr>3.4.2 TERM-CZ 4</vt:lpstr>
      <vt:lpstr>3.4.2 TERM-CZ 5</vt:lpstr>
      <vt:lpstr>3.4.2 TERM-CZ 6</vt:lpstr>
      <vt:lpstr>3.4.2 TERM-CZ 7</vt:lpstr>
      <vt:lpstr>3.4.2 TERM-CZ 8</vt:lpstr>
      <vt:lpstr>3.4.2 TERM-CZ 9</vt:lpstr>
      <vt:lpstr>3.4.2 TERM-CZ 10</vt:lpstr>
      <vt:lpstr>3.4.3 Pensions</vt:lpstr>
      <vt:lpstr>3.4.4 Interest rates</vt:lpstr>
      <vt:lpstr>3.4.5 Restructuring costs</vt:lpstr>
      <vt:lpstr>3.4.6 Add. capacity measures</vt:lpstr>
      <vt:lpstr>3.5 ADDITIONAL KPIs &gt;&gt;&gt;</vt:lpstr>
      <vt:lpstr>3.5 Additional KPIs</vt:lpstr>
      <vt:lpstr>3.6 INTERDEPENDENCIES &gt;&gt;&gt;</vt:lpstr>
      <vt:lpstr>3.6 Interdependencies</vt:lpstr>
      <vt:lpstr>4. CROSS-BORDER and SESAR &gt;&gt;&gt;</vt:lpstr>
      <vt:lpstr>4.1 Cross-border</vt:lpstr>
      <vt:lpstr>4.2 SESAR-PCP</vt:lpstr>
      <vt:lpstr>4.3 Change management</vt:lpstr>
      <vt:lpstr>5. TRAFFIC RS &amp; INCENTIVES &gt;&gt;&gt;</vt:lpstr>
      <vt:lpstr>5.1 Traffic RS</vt:lpstr>
      <vt:lpstr>5.2.1 Capacity Incentives_ER</vt:lpstr>
      <vt:lpstr>5.2.2 Capacity Incentives_TMZ</vt:lpstr>
      <vt:lpstr>5.3 Optional Incentives</vt:lpstr>
      <vt:lpstr>6. IMPLEMENTATION &gt;&gt;&gt;</vt:lpstr>
      <vt:lpstr>6. Implementation</vt:lpstr>
      <vt:lpstr>7. ANNEXES</vt:lpstr>
      <vt:lpstr>Prefilled information</vt:lpstr>
      <vt:lpstr>STATFOR_Data</vt:lpstr>
      <vt:lpstr>temp</vt:lpstr>
      <vt:lpstr>'7. ANNEXES'!_Ref361140025</vt:lpstr>
      <vt:lpstr>'7. ANNEXES'!_Ref367869043</vt:lpstr>
      <vt:lpstr>'7. ANNEXES'!_Ref368471165</vt:lpstr>
      <vt:lpstr>'7. ANNEXES'!_Ref368471334</vt:lpstr>
      <vt:lpstr>'7. ANNEXES'!_Ref378863268</vt:lpstr>
      <vt:lpstr>Nb_Airports_80000</vt:lpstr>
      <vt:lpstr>'Table of Content'!OLE_LINK5</vt:lpstr>
      <vt:lpstr>'1. INTRODUCTION &gt;&gt;&gt;'!Print_Area</vt:lpstr>
      <vt:lpstr>'1.1 The situation'!Print_Area</vt:lpstr>
      <vt:lpstr>'1.2 Traffic forecasts'!Print_Area</vt:lpstr>
      <vt:lpstr>'1.3 Stakeholder consultation'!Print_Area</vt:lpstr>
      <vt:lpstr>'1.4 List of airports'!Print_Area</vt:lpstr>
      <vt:lpstr>'1.5 Market conditions'!Print_Area</vt:lpstr>
      <vt:lpstr>'1.6 FAB process'!Print_Area</vt:lpstr>
      <vt:lpstr>'1.7 Simplified scheme'!Print_Area</vt:lpstr>
      <vt:lpstr>'2. INVESTMENTS &gt;&gt;&gt;'!Print_Area</vt:lpstr>
      <vt:lpstr>'2.1 Investments_ANSP#1'!Print_Area</vt:lpstr>
      <vt:lpstr>'2.10 Investments_ANSP#10'!Print_Area</vt:lpstr>
      <vt:lpstr>'2.2 Investments_ANSP#2'!Print_Area</vt:lpstr>
      <vt:lpstr>'2.3 Investments_ANSP#3'!Print_Area</vt:lpstr>
      <vt:lpstr>'2.4 Investments_ANSP#4'!Print_Area</vt:lpstr>
      <vt:lpstr>'2.5 Investments_ANSP#5'!Print_Area</vt:lpstr>
      <vt:lpstr>'2.6 Investments_ANSP#6'!Print_Area</vt:lpstr>
      <vt:lpstr>'2.7 Investments_ANSP#7'!Print_Area</vt:lpstr>
      <vt:lpstr>'2.8 Investments_ANSP#8'!Print_Area</vt:lpstr>
      <vt:lpstr>'2.9 Investments_ANSP#9'!Print_Area</vt:lpstr>
      <vt:lpstr>'3. PERFORMANCE TARGETS &gt;&gt;&gt;'!Print_Area</vt:lpstr>
      <vt:lpstr>'3.1 SAFETY &gt;&gt;&gt;'!Print_Area</vt:lpstr>
      <vt:lpstr>'3.1 Safety targets'!Print_Area</vt:lpstr>
      <vt:lpstr>'3.2 ENVIRONMENT &gt;&gt;&gt;'!Print_Area</vt:lpstr>
      <vt:lpstr>'3.2 Environment targets'!Print_Area</vt:lpstr>
      <vt:lpstr>'3.3 CAPACITY &gt;&gt;&gt;'!Print_Area</vt:lpstr>
      <vt:lpstr>'3.3.1 En route'!Print_Area</vt:lpstr>
      <vt:lpstr>'3.3.2 Terminal'!Print_Area</vt:lpstr>
      <vt:lpstr>'3.4 COST-EFFICIENCY &gt;&gt;&gt;'!Print_Area</vt:lpstr>
      <vt:lpstr>'3.4.1 ERT-CZ 2'!Print_Area</vt:lpstr>
      <vt:lpstr>'3.4.1 ERT-CZ 3'!Print_Area</vt:lpstr>
      <vt:lpstr>'3.4.1 ERT-CZ 4'!Print_Area</vt:lpstr>
      <vt:lpstr>'3.4.1 ERT-CZ 5'!Print_Area</vt:lpstr>
      <vt:lpstr>'3.4.2 TERM-CZ 1'!Print_Area</vt:lpstr>
      <vt:lpstr>'3.4.2 TERM-CZ 10'!Print_Area</vt:lpstr>
      <vt:lpstr>'3.4.2 TERM-CZ 2'!Print_Area</vt:lpstr>
      <vt:lpstr>'3.4.2 TERM-CZ 3'!Print_Area</vt:lpstr>
      <vt:lpstr>'3.4.2 TERM-CZ 4'!Print_Area</vt:lpstr>
      <vt:lpstr>'3.4.2 TERM-CZ 5'!Print_Area</vt:lpstr>
      <vt:lpstr>'3.4.2 TERM-CZ 6'!Print_Area</vt:lpstr>
      <vt:lpstr>'3.4.2 TERM-CZ 7'!Print_Area</vt:lpstr>
      <vt:lpstr>'3.4.2 TERM-CZ 8'!Print_Area</vt:lpstr>
      <vt:lpstr>'3.4.2 TERM-CZ 9'!Print_Area</vt:lpstr>
      <vt:lpstr>'3.4.3 Pensions'!Print_Area</vt:lpstr>
      <vt:lpstr>'3.4.4 Interest rates'!Print_Area</vt:lpstr>
      <vt:lpstr>'3.4.5 Restructuring costs'!Print_Area</vt:lpstr>
      <vt:lpstr>'3.4.6 Add. capacity measures'!Print_Area</vt:lpstr>
      <vt:lpstr>'3.5 Additional KPIs'!Print_Area</vt:lpstr>
      <vt:lpstr>'3.5 ADDITIONAL KPIs &gt;&gt;&gt;'!Print_Area</vt:lpstr>
      <vt:lpstr>'3.6 Interdependencies'!Print_Area</vt:lpstr>
      <vt:lpstr>'3.6 INTERDEPENDENCIES &gt;&gt;&gt;'!Print_Area</vt:lpstr>
      <vt:lpstr>'4. CROSS-BORDER and SESAR &gt;&gt;&gt;'!Print_Area</vt:lpstr>
      <vt:lpstr>'4.1 Cross-border'!Print_Area</vt:lpstr>
      <vt:lpstr>'4.2 SESAR-PCP'!Print_Area</vt:lpstr>
      <vt:lpstr>'4.3 Change management'!Print_Area</vt:lpstr>
      <vt:lpstr>'5. TRAFFIC RS &amp; INCENTIVES &gt;&gt;&gt;'!Print_Area</vt:lpstr>
      <vt:lpstr>'5.1 Traffic RS'!Print_Area</vt:lpstr>
      <vt:lpstr>'5.2.1 Capacity Incentives_ER'!Print_Area</vt:lpstr>
      <vt:lpstr>'5.2.2 Capacity Incentives_TMZ'!Print_Area</vt:lpstr>
      <vt:lpstr>'5.3 Optional Incentives'!Print_Area</vt:lpstr>
      <vt:lpstr>'6. Implementation'!Print_Area</vt:lpstr>
      <vt:lpstr>'6. IMPLEMENTATION &gt;&gt;&gt;'!Print_Area</vt:lpstr>
      <vt:lpstr>'7. ANNEXES'!Print_Area</vt:lpstr>
      <vt:lpstr>'Cover Page'!Print_Area</vt:lpstr>
      <vt:lpstr>Signatories!Print_Area</vt:lpstr>
      <vt:lpstr>'Table of Content'!Print_Area</vt:lpstr>
    </vt:vector>
  </TitlesOfParts>
  <Company>EUROCONTROL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Oscar.ALFARO@eurocontrol.int</dc:creator>
  <cp:lastModifiedBy>Petros</cp:lastModifiedBy>
  <cp:lastPrinted>2021-11-02T08:53:05Z</cp:lastPrinted>
  <dcterms:created xsi:type="dcterms:W3CDTF">2013-11-05T14:32:35Z</dcterms:created>
  <dcterms:modified xsi:type="dcterms:W3CDTF">2022-12-21T08:20:00Z</dcterms:modified>
</cp:coreProperties>
</file>